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15" windowWidth="21720" windowHeight="12450"/>
  </bookViews>
  <sheets>
    <sheet name="Document Summary" sheetId="8" r:id="rId1"/>
    <sheet name="Company" sheetId="2" r:id="rId2"/>
    <sheet name="Consultant" sheetId="9" r:id="rId3"/>
    <sheet name="Trades" sheetId="3" r:id="rId4"/>
    <sheet name="Year End" sheetId="10" r:id="rId5"/>
  </sheets>
  <externalReferences>
    <externalReference r:id="rId6"/>
  </externalReferences>
  <definedNames>
    <definedName name="_1PURCHASE_ORDER">#REF!</definedName>
    <definedName name="choices">Company!$Y$1:$Y$2</definedName>
    <definedName name="CIE">#N/A</definedName>
    <definedName name="dte">'Document Summary'!$H$71</definedName>
    <definedName name="FEEDIST">#REF!</definedName>
    <definedName name="FEEPLAN">#REF!</definedName>
    <definedName name="FEEWITHOUT">#REF!</definedName>
    <definedName name="Holdback" localSheetId="2">[1]Trades!$M$8</definedName>
    <definedName name="Holdback">Trades!$M$4</definedName>
    <definedName name="HST" localSheetId="2">Consultant!$V$8</definedName>
    <definedName name="HST">Company!$V$8</definedName>
    <definedName name="hst_choices">Company!$Y$3:$Y$4</definedName>
    <definedName name="HST_Rebate" localSheetId="2">Consultant!$X$12</definedName>
    <definedName name="HST_Rebate">Company!$V$10</definedName>
    <definedName name="_xlnm.Print_Area" localSheetId="1">Company!$A$1:$R$73</definedName>
    <definedName name="_xlnm.Print_Area" localSheetId="2">Consultant!$A$1:$R$242</definedName>
    <definedName name="_xlnm.Print_Area" localSheetId="0">'Document Summary'!$A$1:$J$96</definedName>
    <definedName name="_xlnm.Print_Area" localSheetId="4">'Year End'!$A$1:$I$25</definedName>
    <definedName name="_xlnm.Print_Titles" localSheetId="0">'Document Summary'!$1:$10</definedName>
    <definedName name="PROMAN" localSheetId="2">#REF!</definedName>
    <definedName name="PROMAN" localSheetId="0">#REF!</definedName>
    <definedName name="PROMAN" localSheetId="4">#REF!</definedName>
    <definedName name="PROMAN">#REF!</definedName>
    <definedName name="WOWITHPST" localSheetId="2">#REF!</definedName>
    <definedName name="WOWITHPST" localSheetId="4">#REF!</definedName>
    <definedName name="WOWITHPST">#REF!</definedName>
  </definedNames>
  <calcPr calcId="145621"/>
</workbook>
</file>

<file path=xl/calcChain.xml><?xml version="1.0" encoding="utf-8"?>
<calcChain xmlns="http://schemas.openxmlformats.org/spreadsheetml/2006/main">
  <c r="A67" i="8" l="1"/>
  <c r="B5" i="10" l="1"/>
  <c r="R238" i="9" l="1"/>
  <c r="Q238" i="9"/>
  <c r="P238" i="9"/>
  <c r="O238" i="9"/>
  <c r="N238" i="9"/>
  <c r="R237" i="9"/>
  <c r="Q237" i="9"/>
  <c r="P237" i="9"/>
  <c r="O237" i="9"/>
  <c r="N237" i="9"/>
  <c r="R236" i="9"/>
  <c r="Q236" i="9"/>
  <c r="P236" i="9"/>
  <c r="O236" i="9"/>
  <c r="N236" i="9"/>
  <c r="R235" i="9"/>
  <c r="Q235" i="9"/>
  <c r="P235" i="9"/>
  <c r="O235" i="9"/>
  <c r="N235" i="9"/>
  <c r="R234" i="9"/>
  <c r="Q234" i="9"/>
  <c r="P234" i="9"/>
  <c r="O234" i="9"/>
  <c r="N234" i="9"/>
  <c r="R233" i="9"/>
  <c r="Q233" i="9"/>
  <c r="P233" i="9"/>
  <c r="O233" i="9"/>
  <c r="N233" i="9"/>
  <c r="R232" i="9"/>
  <c r="Q232" i="9"/>
  <c r="P232" i="9"/>
  <c r="O232" i="9"/>
  <c r="N232" i="9"/>
  <c r="R207" i="9"/>
  <c r="Q207" i="9"/>
  <c r="P207" i="9"/>
  <c r="O207" i="9"/>
  <c r="N207" i="9"/>
  <c r="R206" i="9"/>
  <c r="Q206" i="9"/>
  <c r="P206" i="9"/>
  <c r="O206" i="9"/>
  <c r="N206" i="9"/>
  <c r="R205" i="9"/>
  <c r="Q205" i="9"/>
  <c r="P205" i="9"/>
  <c r="O205" i="9"/>
  <c r="N205" i="9"/>
  <c r="R204" i="9"/>
  <c r="Q204" i="9"/>
  <c r="P204" i="9"/>
  <c r="O204" i="9"/>
  <c r="N204" i="9"/>
  <c r="R203" i="9"/>
  <c r="Q203" i="9"/>
  <c r="P203" i="9"/>
  <c r="O203" i="9"/>
  <c r="N203" i="9"/>
  <c r="R202" i="9"/>
  <c r="Q202" i="9"/>
  <c r="P202" i="9"/>
  <c r="O202" i="9"/>
  <c r="N202" i="9"/>
  <c r="R201" i="9"/>
  <c r="Q201" i="9"/>
  <c r="P201" i="9"/>
  <c r="O201" i="9"/>
  <c r="N201" i="9"/>
  <c r="R200" i="9"/>
  <c r="Q200" i="9"/>
  <c r="P200" i="9"/>
  <c r="O200" i="9"/>
  <c r="N200" i="9"/>
  <c r="R199" i="9"/>
  <c r="Q199" i="9"/>
  <c r="P199" i="9"/>
  <c r="O199" i="9"/>
  <c r="N199" i="9"/>
  <c r="R198" i="9"/>
  <c r="Q198" i="9"/>
  <c r="P198" i="9"/>
  <c r="O198" i="9"/>
  <c r="N198" i="9"/>
  <c r="R19" i="9"/>
  <c r="Q19" i="9"/>
  <c r="P19" i="9"/>
  <c r="O19" i="9"/>
  <c r="N19" i="9"/>
  <c r="R24" i="2"/>
  <c r="Q24" i="2"/>
  <c r="P24" i="2"/>
  <c r="O24" i="2"/>
  <c r="N24" i="2"/>
  <c r="R19" i="2"/>
  <c r="Q19" i="2"/>
  <c r="P19" i="2"/>
  <c r="O19" i="2"/>
  <c r="N19" i="2"/>
  <c r="R17" i="2"/>
  <c r="Q17" i="2"/>
  <c r="P17" i="2"/>
  <c r="O17" i="2"/>
  <c r="E11" i="2"/>
  <c r="N11" i="2" s="1"/>
  <c r="R69" i="2"/>
  <c r="Q69" i="2"/>
  <c r="P69" i="2"/>
  <c r="O69" i="2"/>
  <c r="N69" i="2"/>
  <c r="R68" i="2"/>
  <c r="Q68" i="2"/>
  <c r="P68" i="2"/>
  <c r="O68" i="2"/>
  <c r="N68" i="2"/>
  <c r="R67" i="2"/>
  <c r="Q67" i="2"/>
  <c r="P67" i="2"/>
  <c r="O67" i="2"/>
  <c r="N67" i="2"/>
  <c r="R66" i="2"/>
  <c r="Q66" i="2"/>
  <c r="P66" i="2"/>
  <c r="O66" i="2"/>
  <c r="N66" i="2"/>
  <c r="R65" i="2"/>
  <c r="Q65" i="2"/>
  <c r="P65" i="2"/>
  <c r="O65" i="2"/>
  <c r="N65" i="2"/>
  <c r="R64" i="2"/>
  <c r="Q64" i="2"/>
  <c r="P64" i="2"/>
  <c r="O64" i="2"/>
  <c r="N64" i="2"/>
  <c r="R63" i="2"/>
  <c r="Q63" i="2"/>
  <c r="P63" i="2"/>
  <c r="O63" i="2"/>
  <c r="N63" i="2"/>
  <c r="I32" i="2"/>
  <c r="R42" i="2"/>
  <c r="Q42" i="2"/>
  <c r="P42" i="2"/>
  <c r="O42" i="2"/>
  <c r="N42" i="2"/>
  <c r="R41" i="2"/>
  <c r="Q41" i="2"/>
  <c r="P41" i="2"/>
  <c r="O41" i="2"/>
  <c r="N41" i="2"/>
  <c r="R40" i="2"/>
  <c r="Q40" i="2"/>
  <c r="P40" i="2"/>
  <c r="O40" i="2"/>
  <c r="N40" i="2"/>
  <c r="R39" i="2"/>
  <c r="Q39" i="2"/>
  <c r="P39" i="2"/>
  <c r="O39" i="2"/>
  <c r="N39" i="2"/>
  <c r="R38" i="2"/>
  <c r="Q38" i="2"/>
  <c r="P38" i="2"/>
  <c r="O38" i="2"/>
  <c r="N38" i="2"/>
  <c r="R37" i="2"/>
  <c r="Q37" i="2"/>
  <c r="P37" i="2"/>
  <c r="O37" i="2"/>
  <c r="N37" i="2"/>
  <c r="R36" i="2"/>
  <c r="Q36" i="2"/>
  <c r="P36" i="2"/>
  <c r="O36" i="2"/>
  <c r="N36" i="2"/>
  <c r="R35" i="2"/>
  <c r="Q35" i="2"/>
  <c r="P35" i="2"/>
  <c r="O35" i="2"/>
  <c r="N35" i="2"/>
  <c r="R34" i="2"/>
  <c r="Q34" i="2"/>
  <c r="P34" i="2"/>
  <c r="O34" i="2"/>
  <c r="N34" i="2"/>
  <c r="R33" i="2"/>
  <c r="Q33" i="2"/>
  <c r="P33" i="2"/>
  <c r="O33" i="2"/>
  <c r="N33" i="2"/>
  <c r="R10" i="2"/>
  <c r="Q10" i="2"/>
  <c r="P10" i="2"/>
  <c r="O10" i="2"/>
  <c r="N10" i="2"/>
  <c r="N12" i="2" l="1"/>
  <c r="L8" i="8" l="1"/>
  <c r="M8" i="8" s="1"/>
  <c r="A28" i="8" l="1"/>
  <c r="F11" i="10" l="1"/>
  <c r="F14" i="10"/>
  <c r="E12" i="10"/>
  <c r="D12" i="10"/>
  <c r="F12" i="10" s="1"/>
  <c r="E11" i="10"/>
  <c r="A6" i="10"/>
  <c r="A4" i="10"/>
  <c r="A3" i="10"/>
  <c r="A2" i="10"/>
  <c r="A1" i="10"/>
  <c r="H17" i="10"/>
  <c r="A22" i="8" l="1"/>
  <c r="H71" i="8" l="1"/>
  <c r="A85" i="8"/>
  <c r="A29" i="8"/>
  <c r="A68" i="8"/>
  <c r="A47" i="8"/>
  <c r="A46" i="8"/>
  <c r="A41" i="8"/>
  <c r="A40" i="8"/>
  <c r="A35" i="8"/>
  <c r="A50" i="8"/>
  <c r="A16" i="8"/>
  <c r="N8" i="8"/>
  <c r="K3" i="10" l="1"/>
  <c r="B8" i="8"/>
  <c r="C18" i="2"/>
  <c r="A18" i="8"/>
  <c r="A21" i="8" l="1"/>
  <c r="A25" i="8"/>
  <c r="A75" i="8"/>
  <c r="A70" i="8"/>
  <c r="A73" i="8" s="1"/>
  <c r="A23" i="8"/>
  <c r="R24" i="9" l="1"/>
  <c r="R22" i="9"/>
  <c r="Q24" i="9"/>
  <c r="Q22" i="9"/>
  <c r="P24" i="9"/>
  <c r="P22" i="9"/>
  <c r="O24" i="9"/>
  <c r="O22" i="9"/>
  <c r="N24" i="9"/>
  <c r="N22" i="9"/>
  <c r="B210" i="9" l="1"/>
  <c r="F211" i="9"/>
  <c r="E211" i="9"/>
  <c r="B215" i="9"/>
  <c r="B214" i="9"/>
  <c r="B46" i="2"/>
  <c r="B212" i="9" s="1"/>
  <c r="J34" i="2" l="1"/>
  <c r="J35" i="2"/>
  <c r="J36" i="2"/>
  <c r="B47" i="2" l="1"/>
  <c r="B213" i="9" s="1"/>
  <c r="B5" i="8" l="1"/>
  <c r="Q8" i="9" l="1"/>
  <c r="P8" i="9"/>
  <c r="R8" i="2"/>
  <c r="Q8" i="2"/>
  <c r="P8" i="2"/>
  <c r="O8" i="2"/>
  <c r="N8" i="2"/>
  <c r="A242" i="9" l="1"/>
  <c r="E80" i="9" l="1"/>
  <c r="J33" i="2"/>
  <c r="I132" i="9" l="1"/>
  <c r="H132" i="9"/>
  <c r="G132" i="9"/>
  <c r="F132" i="9"/>
  <c r="E132" i="9"/>
  <c r="I169" i="9"/>
  <c r="H169" i="9"/>
  <c r="G169" i="9"/>
  <c r="F169" i="9"/>
  <c r="E169" i="9"/>
  <c r="I168" i="9"/>
  <c r="H168" i="9"/>
  <c r="G168" i="9"/>
  <c r="F168" i="9"/>
  <c r="E168" i="9"/>
  <c r="I167" i="9"/>
  <c r="H167" i="9"/>
  <c r="G167" i="9"/>
  <c r="F167" i="9"/>
  <c r="E167" i="9"/>
  <c r="I138" i="9"/>
  <c r="H138" i="9"/>
  <c r="G138" i="9"/>
  <c r="F138" i="9"/>
  <c r="E138" i="9"/>
  <c r="I152" i="9"/>
  <c r="I154" i="9" s="1"/>
  <c r="H152" i="9"/>
  <c r="H154" i="9" s="1"/>
  <c r="G152" i="9"/>
  <c r="G154" i="9" s="1"/>
  <c r="F152" i="9"/>
  <c r="F154" i="9" s="1"/>
  <c r="E152" i="9"/>
  <c r="E154" i="9" s="1"/>
  <c r="K178" i="9"/>
  <c r="M179" i="9"/>
  <c r="L179" i="9"/>
  <c r="K179" i="9"/>
  <c r="M178" i="9"/>
  <c r="L178" i="9"/>
  <c r="D145" i="9"/>
  <c r="D144" i="9"/>
  <c r="I144" i="9" s="1"/>
  <c r="D143" i="9"/>
  <c r="D142" i="9"/>
  <c r="I142" i="9" s="1"/>
  <c r="D141" i="9"/>
  <c r="D140" i="9"/>
  <c r="I140" i="9" s="1"/>
  <c r="I92" i="9"/>
  <c r="H92" i="9"/>
  <c r="G92" i="9"/>
  <c r="F92" i="9"/>
  <c r="E92" i="9"/>
  <c r="C99" i="9" s="1"/>
  <c r="D99" i="9" s="1"/>
  <c r="H141" i="9" l="1"/>
  <c r="H143" i="9"/>
  <c r="H145" i="9"/>
  <c r="E141" i="9"/>
  <c r="G141" i="9"/>
  <c r="I141" i="9"/>
  <c r="F142" i="9"/>
  <c r="H142" i="9"/>
  <c r="E143" i="9"/>
  <c r="G143" i="9"/>
  <c r="I143" i="9"/>
  <c r="F144" i="9"/>
  <c r="H144" i="9"/>
  <c r="E145" i="9"/>
  <c r="G145" i="9"/>
  <c r="I145" i="9"/>
  <c r="F140" i="9"/>
  <c r="H140" i="9"/>
  <c r="F141" i="9"/>
  <c r="E142" i="9"/>
  <c r="G142" i="9"/>
  <c r="F143" i="9"/>
  <c r="E144" i="9"/>
  <c r="G144" i="9"/>
  <c r="F145" i="9"/>
  <c r="E140" i="9"/>
  <c r="G140" i="9"/>
  <c r="J19" i="9" l="1"/>
  <c r="M19" i="9" s="1"/>
  <c r="I14" i="9"/>
  <c r="R14" i="9" s="1"/>
  <c r="H14" i="9"/>
  <c r="Q14" i="9" s="1"/>
  <c r="G14" i="9"/>
  <c r="P14" i="9" s="1"/>
  <c r="F14" i="9"/>
  <c r="O14" i="9" s="1"/>
  <c r="E14" i="9"/>
  <c r="N14" i="9" s="1"/>
  <c r="I11" i="9"/>
  <c r="R11" i="9" s="1"/>
  <c r="H11" i="9"/>
  <c r="Q11" i="9" s="1"/>
  <c r="G11" i="9"/>
  <c r="P11" i="9" s="1"/>
  <c r="F11" i="9"/>
  <c r="O11" i="9" s="1"/>
  <c r="E11" i="9"/>
  <c r="N11" i="9" s="1"/>
  <c r="M171" i="9"/>
  <c r="E185" i="9"/>
  <c r="I175" i="9"/>
  <c r="H175" i="9"/>
  <c r="G175" i="9"/>
  <c r="F175" i="9"/>
  <c r="E175" i="9"/>
  <c r="C191" i="9" s="1"/>
  <c r="D191" i="9" s="1"/>
  <c r="I174" i="9"/>
  <c r="I190" i="9" s="1"/>
  <c r="H174" i="9"/>
  <c r="H190" i="9" s="1"/>
  <c r="G174" i="9"/>
  <c r="G190" i="9" s="1"/>
  <c r="F174" i="9"/>
  <c r="F190" i="9" s="1"/>
  <c r="E174" i="9"/>
  <c r="E190" i="9" s="1"/>
  <c r="A173" i="9"/>
  <c r="A189" i="9" s="1"/>
  <c r="A170" i="9"/>
  <c r="D158" i="9"/>
  <c r="C158" i="9"/>
  <c r="J155" i="9"/>
  <c r="J154" i="9"/>
  <c r="D153" i="9"/>
  <c r="J152" i="9"/>
  <c r="D152" i="9"/>
  <c r="D172" i="9" s="1"/>
  <c r="C152" i="9"/>
  <c r="C172" i="9" s="1"/>
  <c r="J149" i="9"/>
  <c r="J148" i="9"/>
  <c r="J147" i="9"/>
  <c r="J138" i="9"/>
  <c r="D139" i="9"/>
  <c r="D159" i="9" s="1"/>
  <c r="D80" i="9"/>
  <c r="E117" i="9"/>
  <c r="E158" i="9" s="1"/>
  <c r="A156" i="9"/>
  <c r="A155" i="9"/>
  <c r="A154" i="9"/>
  <c r="A146" i="9"/>
  <c r="A166" i="9" s="1"/>
  <c r="A145" i="9"/>
  <c r="A165" i="9" s="1"/>
  <c r="A183" i="9" s="1"/>
  <c r="J134" i="9"/>
  <c r="I133" i="9"/>
  <c r="H133" i="9"/>
  <c r="G133" i="9"/>
  <c r="F133" i="9"/>
  <c r="E172" i="9"/>
  <c r="I117" i="9"/>
  <c r="I158" i="9" s="1"/>
  <c r="H117" i="9"/>
  <c r="H158" i="9" s="1"/>
  <c r="G117" i="9"/>
  <c r="G158" i="9" s="1"/>
  <c r="F117" i="9"/>
  <c r="F158" i="9" s="1"/>
  <c r="E123" i="9"/>
  <c r="D77" i="9"/>
  <c r="A77" i="9"/>
  <c r="A91" i="9" s="1"/>
  <c r="J85" i="9"/>
  <c r="D83" i="9"/>
  <c r="D82" i="9"/>
  <c r="D81" i="9"/>
  <c r="E72" i="9"/>
  <c r="I72" i="9"/>
  <c r="I76" i="9" s="1"/>
  <c r="H72" i="9"/>
  <c r="H75" i="9" s="1"/>
  <c r="G72" i="9"/>
  <c r="G76" i="9" s="1"/>
  <c r="F72" i="9"/>
  <c r="F75" i="9" s="1"/>
  <c r="J70" i="9"/>
  <c r="J66" i="9"/>
  <c r="E53" i="9"/>
  <c r="C60" i="9" s="1"/>
  <c r="D60" i="9" s="1"/>
  <c r="E51" i="9"/>
  <c r="E58" i="9" s="1"/>
  <c r="E50" i="9"/>
  <c r="E57" i="9" s="1"/>
  <c r="E49" i="9"/>
  <c r="D125" i="9"/>
  <c r="A144" i="9"/>
  <c r="C180" i="9"/>
  <c r="A129" i="9"/>
  <c r="A150" i="9" s="1"/>
  <c r="E52" i="9" l="1"/>
  <c r="J11" i="9"/>
  <c r="M11" i="9" s="1"/>
  <c r="E75" i="9"/>
  <c r="E74" i="9"/>
  <c r="H80" i="9"/>
  <c r="H82" i="9" s="1"/>
  <c r="F80" i="9"/>
  <c r="F82" i="9" s="1"/>
  <c r="E82" i="9"/>
  <c r="I80" i="9"/>
  <c r="I82" i="9" s="1"/>
  <c r="G80" i="9"/>
  <c r="G82" i="9" s="1"/>
  <c r="E81" i="9"/>
  <c r="E83" i="9"/>
  <c r="D173" i="9"/>
  <c r="E173" i="9" s="1"/>
  <c r="I153" i="9"/>
  <c r="G153" i="9"/>
  <c r="E153" i="9"/>
  <c r="H153" i="9"/>
  <c r="F153" i="9"/>
  <c r="D146" i="9"/>
  <c r="D166" i="9" s="1"/>
  <c r="J158" i="9"/>
  <c r="J190" i="9"/>
  <c r="G172" i="9"/>
  <c r="I172" i="9"/>
  <c r="J132" i="9"/>
  <c r="F172" i="9"/>
  <c r="H172" i="9"/>
  <c r="H173" i="9" s="1"/>
  <c r="H189" i="9" s="1"/>
  <c r="F173" i="9"/>
  <c r="F189" i="9" s="1"/>
  <c r="D161" i="9"/>
  <c r="G161" i="9" s="1"/>
  <c r="D163" i="9"/>
  <c r="F163" i="9" s="1"/>
  <c r="D165" i="9"/>
  <c r="G165" i="9" s="1"/>
  <c r="D160" i="9"/>
  <c r="F160" i="9" s="1"/>
  <c r="D162" i="9"/>
  <c r="G162" i="9" s="1"/>
  <c r="D164" i="9"/>
  <c r="F164" i="9" s="1"/>
  <c r="J140" i="9"/>
  <c r="E120" i="9"/>
  <c r="E122" i="9"/>
  <c r="E124" i="9"/>
  <c r="F124" i="9" s="1"/>
  <c r="G124" i="9" s="1"/>
  <c r="H124" i="9" s="1"/>
  <c r="I124" i="9" s="1"/>
  <c r="E133" i="9"/>
  <c r="J117" i="9"/>
  <c r="E119" i="9"/>
  <c r="E121" i="9"/>
  <c r="D84" i="9"/>
  <c r="A84" i="9"/>
  <c r="K70" i="9"/>
  <c r="E88" i="9"/>
  <c r="G74" i="9"/>
  <c r="I74" i="9"/>
  <c r="G75" i="9"/>
  <c r="I75" i="9"/>
  <c r="F76" i="9"/>
  <c r="H76" i="9"/>
  <c r="J72" i="9"/>
  <c r="F74" i="9"/>
  <c r="H74" i="9"/>
  <c r="E76" i="9"/>
  <c r="E90" i="9" s="1"/>
  <c r="E97" i="9" s="1"/>
  <c r="I173" i="9" l="1"/>
  <c r="I189" i="9" s="1"/>
  <c r="G173" i="9"/>
  <c r="G189" i="9" s="1"/>
  <c r="I83" i="9"/>
  <c r="H81" i="9"/>
  <c r="H83" i="9"/>
  <c r="G83" i="9"/>
  <c r="G81" i="9"/>
  <c r="F83" i="9"/>
  <c r="F81" i="9"/>
  <c r="E84" i="9"/>
  <c r="E86" i="9" s="1"/>
  <c r="J82" i="9"/>
  <c r="E163" i="9"/>
  <c r="E160" i="9"/>
  <c r="E164" i="9"/>
  <c r="E182" i="9" s="1"/>
  <c r="I163" i="9"/>
  <c r="I160" i="9"/>
  <c r="I164" i="9"/>
  <c r="G163" i="9"/>
  <c r="G160" i="9"/>
  <c r="G164" i="9"/>
  <c r="H162" i="9"/>
  <c r="H161" i="9"/>
  <c r="H165" i="9"/>
  <c r="F162" i="9"/>
  <c r="F161" i="9"/>
  <c r="F165" i="9"/>
  <c r="I81" i="9"/>
  <c r="H89" i="9"/>
  <c r="H96" i="9" s="1"/>
  <c r="E161" i="9"/>
  <c r="E165" i="9"/>
  <c r="E162" i="9"/>
  <c r="I161" i="9"/>
  <c r="I165" i="9"/>
  <c r="I162" i="9"/>
  <c r="H160" i="9"/>
  <c r="H164" i="9"/>
  <c r="H163" i="9"/>
  <c r="G166" i="9"/>
  <c r="J172" i="9"/>
  <c r="J144" i="9"/>
  <c r="J143" i="9"/>
  <c r="J153" i="9"/>
  <c r="J142" i="9"/>
  <c r="J141" i="9"/>
  <c r="L174" i="9"/>
  <c r="I183" i="9"/>
  <c r="J145" i="9"/>
  <c r="E189" i="9"/>
  <c r="J189" i="9" s="1"/>
  <c r="F183" i="9"/>
  <c r="G183" i="9"/>
  <c r="E178" i="9"/>
  <c r="H183" i="9"/>
  <c r="J173" i="9"/>
  <c r="E146" i="9"/>
  <c r="E150" i="9" s="1"/>
  <c r="E156" i="9" s="1"/>
  <c r="I146" i="9"/>
  <c r="I150" i="9" s="1"/>
  <c r="I156" i="9" s="1"/>
  <c r="G146" i="9"/>
  <c r="G150" i="9" s="1"/>
  <c r="G156" i="9" s="1"/>
  <c r="F146" i="9"/>
  <c r="F150" i="9" s="1"/>
  <c r="F156" i="9" s="1"/>
  <c r="H146" i="9"/>
  <c r="H150" i="9" s="1"/>
  <c r="H156" i="9" s="1"/>
  <c r="J124" i="9"/>
  <c r="G90" i="9"/>
  <c r="H90" i="9"/>
  <c r="G89" i="9"/>
  <c r="G96" i="9" s="1"/>
  <c r="E89" i="9"/>
  <c r="E96" i="9" s="1"/>
  <c r="H84" i="9"/>
  <c r="H86" i="9" s="1"/>
  <c r="E125" i="9"/>
  <c r="E129" i="9" s="1"/>
  <c r="E136" i="9" s="1"/>
  <c r="H77" i="9"/>
  <c r="H79" i="9" s="1"/>
  <c r="J74" i="9"/>
  <c r="G88" i="9"/>
  <c r="E91" i="9"/>
  <c r="E95" i="9"/>
  <c r="F77" i="9"/>
  <c r="F79" i="9" s="1"/>
  <c r="E77" i="9"/>
  <c r="E79" i="9" s="1"/>
  <c r="G77" i="9"/>
  <c r="G79" i="9" s="1"/>
  <c r="I77" i="9"/>
  <c r="I79" i="9" s="1"/>
  <c r="J135" i="9"/>
  <c r="F136" i="9"/>
  <c r="I136" i="9"/>
  <c r="H136" i="9"/>
  <c r="G136" i="9"/>
  <c r="E181" i="9"/>
  <c r="A140" i="9"/>
  <c r="A160" i="9" s="1"/>
  <c r="A178" i="9" s="1"/>
  <c r="I166" i="9" l="1"/>
  <c r="F166" i="9"/>
  <c r="K173" i="9"/>
  <c r="E166" i="9"/>
  <c r="H166" i="9"/>
  <c r="J146" i="9"/>
  <c r="J150" i="9" s="1"/>
  <c r="J156" i="9" s="1"/>
  <c r="L173" i="9"/>
  <c r="M173" i="9" s="1"/>
  <c r="H88" i="9"/>
  <c r="G84" i="9"/>
  <c r="G86" i="9" s="1"/>
  <c r="E183" i="9"/>
  <c r="J183" i="9" s="1"/>
  <c r="J165" i="9"/>
  <c r="I90" i="9"/>
  <c r="I89" i="9"/>
  <c r="I96" i="9" s="1"/>
  <c r="J80" i="9"/>
  <c r="J81" i="9"/>
  <c r="F89" i="9"/>
  <c r="F96" i="9" s="1"/>
  <c r="E98" i="9"/>
  <c r="G91" i="9"/>
  <c r="G95" i="9"/>
  <c r="H95" i="9"/>
  <c r="H91" i="9"/>
  <c r="J79" i="9"/>
  <c r="G122" i="9"/>
  <c r="G181" i="9" s="1"/>
  <c r="I187" i="9"/>
  <c r="F187" i="9"/>
  <c r="H123" i="9"/>
  <c r="H182" i="9" s="1"/>
  <c r="J133" i="9"/>
  <c r="J136" i="9" s="1"/>
  <c r="E180" i="9"/>
  <c r="E186" i="9"/>
  <c r="F119" i="9"/>
  <c r="F121" i="9"/>
  <c r="F180" i="9" s="1"/>
  <c r="F123" i="9"/>
  <c r="F182" i="9" s="1"/>
  <c r="F186" i="9"/>
  <c r="G123" i="9"/>
  <c r="G182" i="9" s="1"/>
  <c r="G186" i="9"/>
  <c r="G119" i="9"/>
  <c r="G121" i="9"/>
  <c r="G180" i="9" s="1"/>
  <c r="H119" i="9"/>
  <c r="H186" i="9"/>
  <c r="H120" i="9"/>
  <c r="H179" i="9" s="1"/>
  <c r="H122" i="9"/>
  <c r="H181" i="9" s="1"/>
  <c r="I119" i="9"/>
  <c r="I121" i="9"/>
  <c r="I123" i="9"/>
  <c r="I186" i="9"/>
  <c r="E187" i="9"/>
  <c r="F120" i="9"/>
  <c r="F179" i="9" s="1"/>
  <c r="F122" i="9"/>
  <c r="F181" i="9" s="1"/>
  <c r="F185" i="9"/>
  <c r="G185" i="9"/>
  <c r="G187" i="9"/>
  <c r="G120" i="9"/>
  <c r="G179" i="9" s="1"/>
  <c r="H185" i="9"/>
  <c r="H187" i="9"/>
  <c r="H121" i="9"/>
  <c r="H180" i="9" s="1"/>
  <c r="I120" i="9"/>
  <c r="I122" i="9"/>
  <c r="I185" i="9"/>
  <c r="J78" i="9"/>
  <c r="K165" i="9" l="1"/>
  <c r="I125" i="9"/>
  <c r="H125" i="9"/>
  <c r="G125" i="9"/>
  <c r="F125" i="9"/>
  <c r="J96" i="9"/>
  <c r="F90" i="9"/>
  <c r="J83" i="9"/>
  <c r="E179" i="9"/>
  <c r="E184" i="9" s="1"/>
  <c r="E170" i="9"/>
  <c r="E176" i="9" s="1"/>
  <c r="L165" i="9"/>
  <c r="M165" i="9" s="1"/>
  <c r="J185" i="9"/>
  <c r="J187" i="9"/>
  <c r="J186" i="9"/>
  <c r="J120" i="9"/>
  <c r="F84" i="9"/>
  <c r="F88" i="9"/>
  <c r="I84" i="9"/>
  <c r="I86" i="9" s="1"/>
  <c r="I88" i="9"/>
  <c r="J119" i="9"/>
  <c r="I182" i="9"/>
  <c r="J182" i="9" s="1"/>
  <c r="J123" i="9"/>
  <c r="I181" i="9"/>
  <c r="J181" i="9" s="1"/>
  <c r="J122" i="9"/>
  <c r="I180" i="9"/>
  <c r="J180" i="9" s="1"/>
  <c r="J121" i="9"/>
  <c r="J163" i="9"/>
  <c r="J174" i="9"/>
  <c r="K174" i="9" s="1"/>
  <c r="H129" i="9"/>
  <c r="G170" i="9"/>
  <c r="G129" i="9"/>
  <c r="F170" i="9"/>
  <c r="F176" i="9" s="1"/>
  <c r="F129" i="9"/>
  <c r="J169" i="9"/>
  <c r="I179" i="9"/>
  <c r="J179" i="9" s="1"/>
  <c r="I129" i="9"/>
  <c r="J162" i="9"/>
  <c r="H178" i="9"/>
  <c r="H184" i="9" s="1"/>
  <c r="H188" i="9" s="1"/>
  <c r="I178" i="9"/>
  <c r="F178" i="9"/>
  <c r="G178" i="9"/>
  <c r="G184" i="9" s="1"/>
  <c r="G188" i="9" s="1"/>
  <c r="J175" i="9"/>
  <c r="J167" i="9"/>
  <c r="J164" i="9"/>
  <c r="J168" i="9"/>
  <c r="J46" i="9"/>
  <c r="J43" i="9"/>
  <c r="J44" i="9"/>
  <c r="J42" i="9"/>
  <c r="J39" i="9"/>
  <c r="J37" i="9"/>
  <c r="J36" i="9"/>
  <c r="J35" i="9"/>
  <c r="I239" i="9"/>
  <c r="I22" i="9" s="1"/>
  <c r="H239" i="9"/>
  <c r="H22" i="9" s="1"/>
  <c r="G239" i="9"/>
  <c r="G22" i="9" s="1"/>
  <c r="F239" i="9"/>
  <c r="F22" i="9" s="1"/>
  <c r="E239" i="9"/>
  <c r="J238" i="9"/>
  <c r="J237" i="9"/>
  <c r="J236" i="9"/>
  <c r="J235" i="9"/>
  <c r="J234" i="9"/>
  <c r="J233" i="9"/>
  <c r="R239" i="9"/>
  <c r="Q239" i="9"/>
  <c r="P239" i="9"/>
  <c r="O239" i="9"/>
  <c r="N239" i="9"/>
  <c r="J232" i="9"/>
  <c r="R231" i="9"/>
  <c r="Q231" i="9"/>
  <c r="P231" i="9"/>
  <c r="O231" i="9"/>
  <c r="N231" i="9"/>
  <c r="I196" i="9"/>
  <c r="I231" i="9" s="1"/>
  <c r="H196" i="9"/>
  <c r="H231" i="9" s="1"/>
  <c r="G196" i="9"/>
  <c r="G231" i="9" s="1"/>
  <c r="F196" i="9"/>
  <c r="F231" i="9" s="1"/>
  <c r="E196" i="9"/>
  <c r="N196" i="9" s="1"/>
  <c r="I208" i="9"/>
  <c r="H208" i="9"/>
  <c r="G208" i="9"/>
  <c r="F208" i="9"/>
  <c r="E208" i="9"/>
  <c r="J207" i="9"/>
  <c r="J206" i="9"/>
  <c r="J205" i="9"/>
  <c r="J204" i="9"/>
  <c r="J203" i="9"/>
  <c r="J202" i="9"/>
  <c r="J201" i="9"/>
  <c r="M201" i="9" s="1"/>
  <c r="J200" i="9"/>
  <c r="J199" i="9"/>
  <c r="Q208" i="9"/>
  <c r="O208" i="9"/>
  <c r="J198" i="9"/>
  <c r="R196" i="9"/>
  <c r="Q196" i="9"/>
  <c r="I33" i="9"/>
  <c r="I65" i="9" s="1"/>
  <c r="I104" i="9" s="1"/>
  <c r="H33" i="9"/>
  <c r="H65" i="9" s="1"/>
  <c r="H104" i="9" s="1"/>
  <c r="G33" i="9"/>
  <c r="G65" i="9" s="1"/>
  <c r="G104" i="9" s="1"/>
  <c r="F33" i="9"/>
  <c r="F65" i="9" s="1"/>
  <c r="F104" i="9" s="1"/>
  <c r="E33" i="9"/>
  <c r="E65" i="9" s="1"/>
  <c r="E104" i="9" s="1"/>
  <c r="S29" i="9"/>
  <c r="S25" i="9"/>
  <c r="J24" i="9"/>
  <c r="M24" i="9" s="1"/>
  <c r="S21" i="9"/>
  <c r="K19" i="9"/>
  <c r="S16" i="9"/>
  <c r="S13" i="9"/>
  <c r="R8" i="9"/>
  <c r="O8" i="9"/>
  <c r="N8" i="9"/>
  <c r="D5" i="9"/>
  <c r="D4" i="9"/>
  <c r="D3" i="9"/>
  <c r="D2" i="9"/>
  <c r="D1" i="9"/>
  <c r="D1" i="2"/>
  <c r="B1" i="10" s="1"/>
  <c r="C5" i="9"/>
  <c r="C4" i="9"/>
  <c r="C3" i="9"/>
  <c r="C2" i="9"/>
  <c r="C1" i="9"/>
  <c r="D224" i="9"/>
  <c r="A175" i="9"/>
  <c r="A191" i="9" s="1"/>
  <c r="A174" i="9"/>
  <c r="A190" i="9" s="1"/>
  <c r="A149" i="9"/>
  <c r="A169" i="9" s="1"/>
  <c r="A187" i="9" s="1"/>
  <c r="A148" i="9"/>
  <c r="A168" i="9" s="1"/>
  <c r="A186" i="9" s="1"/>
  <c r="A147" i="9"/>
  <c r="A167" i="9" s="1"/>
  <c r="A185" i="9" s="1"/>
  <c r="A164" i="9"/>
  <c r="A182" i="9" s="1"/>
  <c r="A143" i="9"/>
  <c r="A163" i="9" s="1"/>
  <c r="A181" i="9" s="1"/>
  <c r="A142" i="9"/>
  <c r="A162" i="9" s="1"/>
  <c r="A180" i="9" s="1"/>
  <c r="A141" i="9"/>
  <c r="A161" i="9" s="1"/>
  <c r="A179" i="9" s="1"/>
  <c r="J128" i="9"/>
  <c r="J127" i="9"/>
  <c r="J126" i="9"/>
  <c r="J115" i="9"/>
  <c r="A115" i="9"/>
  <c r="J114" i="9"/>
  <c r="J113" i="9"/>
  <c r="J112" i="9"/>
  <c r="J111" i="9"/>
  <c r="J109" i="9"/>
  <c r="J108" i="9"/>
  <c r="J107" i="9"/>
  <c r="J106" i="9"/>
  <c r="J105" i="9"/>
  <c r="A98" i="9"/>
  <c r="A90" i="9"/>
  <c r="A97" i="9" s="1"/>
  <c r="A89" i="9"/>
  <c r="A96" i="9" s="1"/>
  <c r="A88" i="9"/>
  <c r="A95" i="9" s="1"/>
  <c r="A83" i="9"/>
  <c r="A82" i="9"/>
  <c r="A81" i="9"/>
  <c r="A80" i="9"/>
  <c r="A86" i="9" s="1"/>
  <c r="A79" i="9"/>
  <c r="A78" i="9"/>
  <c r="A92" i="9" s="1"/>
  <c r="A99" i="9" s="1"/>
  <c r="H97" i="9"/>
  <c r="J69" i="9"/>
  <c r="K69" i="9" s="1"/>
  <c r="J68" i="9"/>
  <c r="K68" i="9" s="1"/>
  <c r="J67" i="9"/>
  <c r="K67" i="9" s="1"/>
  <c r="A94" i="9"/>
  <c r="A177" i="9" s="1"/>
  <c r="A54" i="9"/>
  <c r="I53" i="9"/>
  <c r="H53" i="9"/>
  <c r="G53" i="9"/>
  <c r="F53" i="9"/>
  <c r="A53" i="9"/>
  <c r="A60" i="9" s="1"/>
  <c r="I51" i="9"/>
  <c r="I58" i="9" s="1"/>
  <c r="H51" i="9"/>
  <c r="H58" i="9" s="1"/>
  <c r="G51" i="9"/>
  <c r="G58" i="9" s="1"/>
  <c r="F51" i="9"/>
  <c r="F58" i="9" s="1"/>
  <c r="A51" i="9"/>
  <c r="A58" i="9" s="1"/>
  <c r="I50" i="9"/>
  <c r="I57" i="9" s="1"/>
  <c r="H50" i="9"/>
  <c r="H57" i="9" s="1"/>
  <c r="G50" i="9"/>
  <c r="G57" i="9" s="1"/>
  <c r="F50" i="9"/>
  <c r="F57" i="9" s="1"/>
  <c r="A50" i="9"/>
  <c r="A57" i="9" s="1"/>
  <c r="I49" i="9"/>
  <c r="H49" i="9"/>
  <c r="G49" i="9"/>
  <c r="F49" i="9"/>
  <c r="A49" i="9"/>
  <c r="A56" i="9" s="1"/>
  <c r="A47" i="9"/>
  <c r="A46" i="9"/>
  <c r="J45" i="9"/>
  <c r="J47" i="9" s="1"/>
  <c r="I45" i="9"/>
  <c r="I47" i="9" s="1"/>
  <c r="H45" i="9"/>
  <c r="H47" i="9" s="1"/>
  <c r="G45" i="9"/>
  <c r="G47" i="9" s="1"/>
  <c r="F45" i="9"/>
  <c r="F47" i="9" s="1"/>
  <c r="E45" i="9"/>
  <c r="E47" i="9" s="1"/>
  <c r="A45" i="9"/>
  <c r="A52" i="9" s="1"/>
  <c r="A44" i="9"/>
  <c r="A43" i="9"/>
  <c r="A42" i="9"/>
  <c r="A40" i="9"/>
  <c r="I38" i="9"/>
  <c r="I40" i="9" s="1"/>
  <c r="I10" i="9" s="1"/>
  <c r="H38" i="9"/>
  <c r="H40" i="9" s="1"/>
  <c r="H10" i="9" s="1"/>
  <c r="G38" i="9"/>
  <c r="G40" i="9" s="1"/>
  <c r="G10" i="9" s="1"/>
  <c r="F38" i="9"/>
  <c r="F40" i="9" s="1"/>
  <c r="F10" i="9" s="1"/>
  <c r="E38" i="9"/>
  <c r="E40" i="9" s="1"/>
  <c r="E10" i="9" s="1"/>
  <c r="P10" i="9" l="1"/>
  <c r="P12" i="9" s="1"/>
  <c r="P15" i="9" s="1"/>
  <c r="O10" i="9"/>
  <c r="O12" i="9" s="1"/>
  <c r="O15" i="9" s="1"/>
  <c r="Q10" i="9"/>
  <c r="Q12" i="9" s="1"/>
  <c r="Q15" i="9" s="1"/>
  <c r="M233" i="9"/>
  <c r="K233" i="9"/>
  <c r="M235" i="9"/>
  <c r="K235" i="9"/>
  <c r="M237" i="9"/>
  <c r="K237" i="9"/>
  <c r="R10" i="9"/>
  <c r="R12" i="9" s="1"/>
  <c r="R15" i="9" s="1"/>
  <c r="M234" i="9"/>
  <c r="K234" i="9"/>
  <c r="M236" i="9"/>
  <c r="K236" i="9"/>
  <c r="M238" i="9"/>
  <c r="K238" i="9"/>
  <c r="J125" i="9"/>
  <c r="E188" i="9"/>
  <c r="D184" i="9"/>
  <c r="N10" i="9"/>
  <c r="N12" i="9" s="1"/>
  <c r="N15" i="9" s="1"/>
  <c r="M232" i="9"/>
  <c r="K232" i="9"/>
  <c r="K203" i="9"/>
  <c r="M203" i="9"/>
  <c r="K205" i="9"/>
  <c r="M205" i="9"/>
  <c r="K207" i="9"/>
  <c r="M207" i="9"/>
  <c r="K204" i="9"/>
  <c r="M204" i="9"/>
  <c r="K206" i="9"/>
  <c r="M206" i="9"/>
  <c r="K199" i="9"/>
  <c r="M199" i="9"/>
  <c r="K198" i="9"/>
  <c r="M198" i="9"/>
  <c r="K200" i="9"/>
  <c r="M200" i="9"/>
  <c r="K202" i="9"/>
  <c r="M202" i="9"/>
  <c r="K201" i="9"/>
  <c r="G12" i="9"/>
  <c r="I12" i="9"/>
  <c r="I15" i="9" s="1"/>
  <c r="K112" i="9"/>
  <c r="K114" i="9"/>
  <c r="K115" i="9"/>
  <c r="H12" i="9"/>
  <c r="O196" i="9"/>
  <c r="F52" i="9"/>
  <c r="K106" i="9"/>
  <c r="K108" i="9"/>
  <c r="K113" i="9"/>
  <c r="K168" i="9"/>
  <c r="K167" i="9"/>
  <c r="K107" i="9"/>
  <c r="L162" i="9"/>
  <c r="K162" i="9"/>
  <c r="L163" i="9"/>
  <c r="K163" i="9"/>
  <c r="L164" i="9"/>
  <c r="K164" i="9"/>
  <c r="K169" i="9"/>
  <c r="F86" i="9"/>
  <c r="J84" i="9"/>
  <c r="J86" i="9" s="1"/>
  <c r="I184" i="9"/>
  <c r="I188" i="9" s="1"/>
  <c r="J161" i="9"/>
  <c r="K161" i="9" s="1"/>
  <c r="J160" i="9"/>
  <c r="M162" i="9"/>
  <c r="L169" i="9"/>
  <c r="M169" i="9" s="1"/>
  <c r="E12" i="9"/>
  <c r="E15" i="9" s="1"/>
  <c r="J10" i="9"/>
  <c r="M10" i="9" s="1"/>
  <c r="M12" i="9" s="1"/>
  <c r="F12" i="9"/>
  <c r="F15" i="9" s="1"/>
  <c r="E22" i="9"/>
  <c r="F184" i="9"/>
  <c r="F188" i="9" s="1"/>
  <c r="J178" i="9"/>
  <c r="M174" i="9"/>
  <c r="L168" i="9"/>
  <c r="M168" i="9" s="1"/>
  <c r="L167" i="9"/>
  <c r="M167" i="9" s="1"/>
  <c r="M164" i="9"/>
  <c r="L161" i="9"/>
  <c r="M161" i="9" s="1"/>
  <c r="M163" i="9"/>
  <c r="H170" i="9"/>
  <c r="H176" i="9" s="1"/>
  <c r="I170" i="9"/>
  <c r="E192" i="9"/>
  <c r="I176" i="9"/>
  <c r="G176" i="9"/>
  <c r="I95" i="9"/>
  <c r="I91" i="9"/>
  <c r="F91" i="9"/>
  <c r="F95" i="9"/>
  <c r="J129" i="9"/>
  <c r="K109" i="9"/>
  <c r="J57" i="9"/>
  <c r="J58" i="9"/>
  <c r="J50" i="9"/>
  <c r="J51" i="9"/>
  <c r="J49" i="9"/>
  <c r="J53" i="9"/>
  <c r="E93" i="9"/>
  <c r="I97" i="9"/>
  <c r="G97" i="9"/>
  <c r="F97" i="9"/>
  <c r="J38" i="9"/>
  <c r="J40" i="9" s="1"/>
  <c r="J208" i="9"/>
  <c r="C213" i="9" s="1"/>
  <c r="N208" i="9"/>
  <c r="P208" i="9"/>
  <c r="R208" i="9"/>
  <c r="E231" i="9"/>
  <c r="L198" i="9"/>
  <c r="S198" i="9"/>
  <c r="L199" i="9"/>
  <c r="S199" i="9"/>
  <c r="L200" i="9"/>
  <c r="S200" i="9"/>
  <c r="L201" i="9"/>
  <c r="S201" i="9"/>
  <c r="L202" i="9"/>
  <c r="S202" i="9"/>
  <c r="L203" i="9"/>
  <c r="S203" i="9"/>
  <c r="L204" i="9"/>
  <c r="S204" i="9"/>
  <c r="L205" i="9"/>
  <c r="S205" i="9"/>
  <c r="L206" i="9"/>
  <c r="S206" i="9"/>
  <c r="L207" i="9"/>
  <c r="S207" i="9"/>
  <c r="L232" i="9"/>
  <c r="L233" i="9"/>
  <c r="S233" i="9"/>
  <c r="L234" i="9"/>
  <c r="S234" i="9"/>
  <c r="L235" i="9"/>
  <c r="S235" i="9"/>
  <c r="L236" i="9"/>
  <c r="S236" i="9"/>
  <c r="L237" i="9"/>
  <c r="S237" i="9"/>
  <c r="L238" i="9"/>
  <c r="S238" i="9"/>
  <c r="J239" i="9"/>
  <c r="J22" i="9" s="1"/>
  <c r="M22" i="9" s="1"/>
  <c r="P196" i="9"/>
  <c r="L19" i="9"/>
  <c r="H15" i="9"/>
  <c r="G15" i="9"/>
  <c r="S19" i="9"/>
  <c r="K24" i="9"/>
  <c r="L24" i="9" s="1"/>
  <c r="S24" i="9"/>
  <c r="J14" i="9"/>
  <c r="M14" i="9" s="1"/>
  <c r="E54" i="9"/>
  <c r="G52" i="9"/>
  <c r="G54" i="9" s="1"/>
  <c r="I52" i="9"/>
  <c r="I54" i="9" s="1"/>
  <c r="D226" i="9"/>
  <c r="F54" i="9"/>
  <c r="H52" i="9"/>
  <c r="H54" i="9" s="1"/>
  <c r="J75" i="9"/>
  <c r="J76" i="9"/>
  <c r="J92" i="9"/>
  <c r="A61" i="9"/>
  <c r="A100" i="9" s="1"/>
  <c r="A85" i="9"/>
  <c r="K22" i="9" l="1"/>
  <c r="L22" i="9" s="1"/>
  <c r="E197" i="9"/>
  <c r="M15" i="9"/>
  <c r="K208" i="9"/>
  <c r="K10" i="9"/>
  <c r="L10" i="9" s="1"/>
  <c r="C212" i="9"/>
  <c r="D216" i="9" s="1"/>
  <c r="E216" i="9" s="1"/>
  <c r="H60" i="9"/>
  <c r="I60" i="9"/>
  <c r="H99" i="9"/>
  <c r="I99" i="9"/>
  <c r="F99" i="9"/>
  <c r="G99" i="9"/>
  <c r="L160" i="9"/>
  <c r="M160" i="9" s="1"/>
  <c r="K160" i="9"/>
  <c r="F60" i="9"/>
  <c r="G60" i="9"/>
  <c r="N86" i="9"/>
  <c r="J97" i="9"/>
  <c r="L90" i="9" s="1"/>
  <c r="E193" i="9"/>
  <c r="J95" i="9"/>
  <c r="J166" i="9"/>
  <c r="J170" i="9" s="1"/>
  <c r="J176" i="9" s="1"/>
  <c r="E100" i="9"/>
  <c r="E101" i="9" s="1"/>
  <c r="S10" i="9"/>
  <c r="J184" i="9"/>
  <c r="J188" i="9" s="1"/>
  <c r="J12" i="9"/>
  <c r="J15" i="9" s="1"/>
  <c r="J52" i="9"/>
  <c r="J54" i="9" s="1"/>
  <c r="J99" i="9"/>
  <c r="K92" i="9" s="1"/>
  <c r="J77" i="9"/>
  <c r="J90" i="9"/>
  <c r="M208" i="9"/>
  <c r="S208" i="9" s="1"/>
  <c r="J89" i="9"/>
  <c r="K89" i="9" s="1"/>
  <c r="L208" i="9"/>
  <c r="M239" i="9"/>
  <c r="S239" i="9" s="1"/>
  <c r="S232" i="9"/>
  <c r="L239" i="9"/>
  <c r="K239" i="9"/>
  <c r="K14" i="9"/>
  <c r="S11" i="9"/>
  <c r="K11" i="9"/>
  <c r="K12" i="9" s="1"/>
  <c r="D11" i="9"/>
  <c r="L89" i="9"/>
  <c r="H93" i="9"/>
  <c r="H98" i="9"/>
  <c r="H100" i="9" s="1"/>
  <c r="L88" i="9" l="1"/>
  <c r="K90" i="9"/>
  <c r="S22" i="9"/>
  <c r="K166" i="9"/>
  <c r="D14" i="9"/>
  <c r="J13" i="9"/>
  <c r="D222" i="9" s="1"/>
  <c r="J98" i="9"/>
  <c r="L91" i="9"/>
  <c r="H101" i="9"/>
  <c r="L92" i="9"/>
  <c r="M92" i="9" s="1"/>
  <c r="K170" i="9"/>
  <c r="L166" i="9"/>
  <c r="M166" i="9" s="1"/>
  <c r="L11" i="9"/>
  <c r="L12" i="9" s="1"/>
  <c r="J60" i="9"/>
  <c r="L50" i="9"/>
  <c r="K50" i="9" s="1"/>
  <c r="M90" i="9"/>
  <c r="L51" i="9"/>
  <c r="K51" i="9" s="1"/>
  <c r="S14" i="9"/>
  <c r="S12" i="9"/>
  <c r="K15" i="9"/>
  <c r="L14" i="9"/>
  <c r="M89" i="9"/>
  <c r="I98" i="9"/>
  <c r="I100" i="9" s="1"/>
  <c r="I93" i="9"/>
  <c r="J88" i="9"/>
  <c r="K88" i="9" s="1"/>
  <c r="G98" i="9"/>
  <c r="G100" i="9" s="1"/>
  <c r="G93" i="9"/>
  <c r="F93" i="9"/>
  <c r="F98" i="9"/>
  <c r="F100" i="9" s="1"/>
  <c r="J100" i="9" l="1"/>
  <c r="D227" i="9"/>
  <c r="K223" i="9"/>
  <c r="F101" i="9"/>
  <c r="G101" i="9"/>
  <c r="L170" i="9"/>
  <c r="M170" i="9" s="1"/>
  <c r="I101" i="9"/>
  <c r="M88" i="9"/>
  <c r="M50" i="9"/>
  <c r="M51" i="9"/>
  <c r="L53" i="9"/>
  <c r="K53" i="9" s="1"/>
  <c r="L15" i="9"/>
  <c r="J91" i="9"/>
  <c r="K91" i="9" s="1"/>
  <c r="J101" i="9" l="1"/>
  <c r="J93" i="9"/>
  <c r="D18" i="9" s="1"/>
  <c r="M53" i="9"/>
  <c r="S15" i="9"/>
  <c r="K93" i="9" l="1"/>
  <c r="M91" i="9"/>
  <c r="M93" i="9" s="1"/>
  <c r="L93" i="9"/>
  <c r="E70" i="2" l="1"/>
  <c r="J69" i="2"/>
  <c r="J68" i="2"/>
  <c r="J67" i="2"/>
  <c r="J66" i="2"/>
  <c r="J65" i="2"/>
  <c r="J64" i="2"/>
  <c r="E43" i="2"/>
  <c r="S29" i="2"/>
  <c r="S25" i="2"/>
  <c r="S21" i="2"/>
  <c r="S16" i="2"/>
  <c r="S13" i="2"/>
  <c r="K65" i="2" l="1"/>
  <c r="L65" i="2" s="1"/>
  <c r="M65" i="2"/>
  <c r="K67" i="2"/>
  <c r="L67" i="2" s="1"/>
  <c r="M67" i="2"/>
  <c r="K69" i="2"/>
  <c r="L69" i="2" s="1"/>
  <c r="M69" i="2"/>
  <c r="K64" i="2"/>
  <c r="L64" i="2" s="1"/>
  <c r="M64" i="2"/>
  <c r="K66" i="2"/>
  <c r="L66" i="2" s="1"/>
  <c r="M66" i="2"/>
  <c r="K68" i="2"/>
  <c r="L68" i="2" s="1"/>
  <c r="M68" i="2"/>
  <c r="J63" i="2"/>
  <c r="I11" i="2"/>
  <c r="H11" i="2"/>
  <c r="G11" i="2"/>
  <c r="F11" i="2"/>
  <c r="A77" i="8"/>
  <c r="A65" i="8"/>
  <c r="A63" i="8"/>
  <c r="A56" i="8"/>
  <c r="A55" i="8"/>
  <c r="A37" i="8"/>
  <c r="A34" i="8"/>
  <c r="A33" i="8"/>
  <c r="A30" i="8"/>
  <c r="A15" i="8"/>
  <c r="A14" i="8"/>
  <c r="O58" i="3"/>
  <c r="O57" i="3"/>
  <c r="O56" i="3"/>
  <c r="B5" i="3"/>
  <c r="B4" i="3"/>
  <c r="B3" i="3"/>
  <c r="B2" i="3"/>
  <c r="B1" i="3"/>
  <c r="C40" i="3"/>
  <c r="D40" i="3"/>
  <c r="F40" i="3"/>
  <c r="G40" i="3"/>
  <c r="H40" i="3"/>
  <c r="I40" i="3"/>
  <c r="J40" i="3"/>
  <c r="L40" i="3"/>
  <c r="N40" i="3"/>
  <c r="C9" i="3"/>
  <c r="D9" i="3"/>
  <c r="F9" i="3"/>
  <c r="G9" i="3"/>
  <c r="H9" i="3"/>
  <c r="I9" i="3"/>
  <c r="J9" i="3"/>
  <c r="L9" i="3"/>
  <c r="N9" i="3"/>
  <c r="E8" i="3"/>
  <c r="E9" i="3" s="1"/>
  <c r="E47" i="3"/>
  <c r="E46" i="3"/>
  <c r="E45" i="3"/>
  <c r="E44" i="3"/>
  <c r="E58" i="3"/>
  <c r="E57" i="3"/>
  <c r="E56" i="3"/>
  <c r="D59" i="3"/>
  <c r="C59" i="3"/>
  <c r="P11" i="2" l="1"/>
  <c r="P12" i="2" s="1"/>
  <c r="R11" i="2"/>
  <c r="R12" i="2" s="1"/>
  <c r="O11" i="2"/>
  <c r="O12" i="2" s="1"/>
  <c r="Q11" i="2"/>
  <c r="Q12" i="2" s="1"/>
  <c r="J70" i="2"/>
  <c r="M63" i="2"/>
  <c r="K63" i="2"/>
  <c r="E59" i="3"/>
  <c r="F12" i="2"/>
  <c r="H12" i="2"/>
  <c r="G12" i="2"/>
  <c r="I12" i="2"/>
  <c r="J42" i="2"/>
  <c r="M42" i="2" s="1"/>
  <c r="S42" i="2" s="1"/>
  <c r="J41" i="2"/>
  <c r="M41" i="2" s="1"/>
  <c r="S41" i="2" s="1"/>
  <c r="J40" i="2"/>
  <c r="M40" i="2" s="1"/>
  <c r="S40" i="2" s="1"/>
  <c r="J39" i="2"/>
  <c r="M39" i="2" s="1"/>
  <c r="S39" i="2" s="1"/>
  <c r="J38" i="2"/>
  <c r="M38" i="2" s="1"/>
  <c r="S38" i="2" s="1"/>
  <c r="J37" i="2"/>
  <c r="M37" i="2" s="1"/>
  <c r="S37" i="2" s="1"/>
  <c r="M36" i="2"/>
  <c r="S36" i="2" s="1"/>
  <c r="M35" i="2"/>
  <c r="S35" i="2" s="1"/>
  <c r="M34" i="2"/>
  <c r="S34" i="2" s="1"/>
  <c r="K41" i="2"/>
  <c r="L41" i="2" s="1"/>
  <c r="E12" i="2"/>
  <c r="I14" i="2"/>
  <c r="R14" i="2" s="1"/>
  <c r="H14" i="2"/>
  <c r="Q14" i="2" s="1"/>
  <c r="G14" i="2"/>
  <c r="P14" i="2" s="1"/>
  <c r="F14" i="2"/>
  <c r="O14" i="2" s="1"/>
  <c r="E14" i="2"/>
  <c r="N14" i="2" s="1"/>
  <c r="K35" i="2" l="1"/>
  <c r="L35" i="2" s="1"/>
  <c r="Q15" i="2"/>
  <c r="Q27" i="2" s="1"/>
  <c r="J14" i="2"/>
  <c r="K14" i="2" s="1"/>
  <c r="P15" i="2"/>
  <c r="P27" i="2" s="1"/>
  <c r="I15" i="2"/>
  <c r="R15" i="2"/>
  <c r="R27" i="2" s="1"/>
  <c r="K39" i="2"/>
  <c r="L39" i="2" s="1"/>
  <c r="J11" i="2"/>
  <c r="K11" i="2" s="1"/>
  <c r="K34" i="2"/>
  <c r="L34" i="2" s="1"/>
  <c r="K37" i="2"/>
  <c r="L37" i="2" s="1"/>
  <c r="K42" i="2"/>
  <c r="L42" i="2" s="1"/>
  <c r="K40" i="2"/>
  <c r="L40" i="2" s="1"/>
  <c r="K38" i="2"/>
  <c r="L38" i="2" s="1"/>
  <c r="K36" i="2"/>
  <c r="L36" i="2" s="1"/>
  <c r="B9" i="3"/>
  <c r="B24" i="3"/>
  <c r="B33" i="3"/>
  <c r="B40" i="3"/>
  <c r="B49" i="3"/>
  <c r="B53" i="3"/>
  <c r="B59" i="3"/>
  <c r="C53" i="3"/>
  <c r="M11" i="2" l="1"/>
  <c r="S11" i="2" s="1"/>
  <c r="L11" i="2"/>
  <c r="M14" i="2"/>
  <c r="S14" i="2" s="1"/>
  <c r="L14" i="2"/>
  <c r="N33" i="3"/>
  <c r="L33" i="3"/>
  <c r="J33" i="3"/>
  <c r="I33" i="3"/>
  <c r="H33" i="3"/>
  <c r="G33" i="3"/>
  <c r="F33" i="3"/>
  <c r="D33" i="3"/>
  <c r="C33" i="3"/>
  <c r="C24" i="3"/>
  <c r="M23" i="3"/>
  <c r="O23" i="3" s="1"/>
  <c r="K23" i="3"/>
  <c r="Q23" i="3" s="1"/>
  <c r="E23" i="3"/>
  <c r="M22" i="3"/>
  <c r="O22" i="3" s="1"/>
  <c r="K22" i="3"/>
  <c r="Q22" i="3" s="1"/>
  <c r="E22" i="3"/>
  <c r="M21" i="3"/>
  <c r="O21" i="3" s="1"/>
  <c r="K21" i="3"/>
  <c r="Q21" i="3" s="1"/>
  <c r="E21" i="3"/>
  <c r="M20" i="3"/>
  <c r="O20" i="3" s="1"/>
  <c r="K20" i="3"/>
  <c r="Q20" i="3" s="1"/>
  <c r="E20" i="3"/>
  <c r="M19" i="3"/>
  <c r="O19" i="3" s="1"/>
  <c r="K19" i="3"/>
  <c r="Q19" i="3" s="1"/>
  <c r="E19" i="3"/>
  <c r="M18" i="3"/>
  <c r="O18" i="3" s="1"/>
  <c r="K18" i="3"/>
  <c r="Q18" i="3" s="1"/>
  <c r="E18" i="3"/>
  <c r="M17" i="3"/>
  <c r="O17" i="3" s="1"/>
  <c r="K17" i="3"/>
  <c r="Q17" i="3" s="1"/>
  <c r="E17" i="3"/>
  <c r="M16" i="3"/>
  <c r="O16" i="3" s="1"/>
  <c r="K16" i="3"/>
  <c r="Q16" i="3" s="1"/>
  <c r="E16" i="3"/>
  <c r="M15" i="3"/>
  <c r="O15" i="3" s="1"/>
  <c r="K15" i="3"/>
  <c r="Q15" i="3" s="1"/>
  <c r="E15" i="3"/>
  <c r="M14" i="3"/>
  <c r="O14" i="3" s="1"/>
  <c r="K14" i="3"/>
  <c r="Q14" i="3" s="1"/>
  <c r="E14" i="3"/>
  <c r="M13" i="3"/>
  <c r="O13" i="3" s="1"/>
  <c r="K13" i="3"/>
  <c r="Q13" i="3" s="1"/>
  <c r="E13" i="3"/>
  <c r="M12" i="3"/>
  <c r="O12" i="3" s="1"/>
  <c r="K12" i="3"/>
  <c r="Q12" i="3" s="1"/>
  <c r="E12" i="3"/>
  <c r="N10" i="3"/>
  <c r="L10" i="3"/>
  <c r="J10" i="3"/>
  <c r="I10" i="3"/>
  <c r="H10" i="3"/>
  <c r="G10" i="3"/>
  <c r="F10" i="3"/>
  <c r="D10" i="3"/>
  <c r="C10" i="3"/>
  <c r="D5" i="2"/>
  <c r="B6" i="10" s="1"/>
  <c r="P12" i="3" l="1"/>
  <c r="P13" i="3"/>
  <c r="P14" i="3"/>
  <c r="P15" i="3"/>
  <c r="P16" i="3"/>
  <c r="P17" i="3"/>
  <c r="P18" i="3"/>
  <c r="P19" i="3"/>
  <c r="P20" i="3"/>
  <c r="P21" i="3"/>
  <c r="P23" i="3"/>
  <c r="P22" i="3"/>
  <c r="I62" i="2"/>
  <c r="H62" i="2"/>
  <c r="G62" i="2"/>
  <c r="F62" i="2"/>
  <c r="E62" i="2"/>
  <c r="R62" i="2"/>
  <c r="Q62" i="2"/>
  <c r="P62" i="2"/>
  <c r="O62" i="2"/>
  <c r="N62" i="2"/>
  <c r="R32" i="2"/>
  <c r="H32" i="2"/>
  <c r="G32" i="2"/>
  <c r="F32" i="2"/>
  <c r="O32" i="2" s="1"/>
  <c r="E32" i="2"/>
  <c r="N32" i="2" s="1"/>
  <c r="N70" i="2" l="1"/>
  <c r="N22" i="2" s="1"/>
  <c r="P32" i="2"/>
  <c r="Q32" i="2"/>
  <c r="J43" i="2"/>
  <c r="C47" i="2" s="1"/>
  <c r="I27" i="2"/>
  <c r="J24" i="2"/>
  <c r="E15" i="2"/>
  <c r="J19" i="2"/>
  <c r="K19" i="2" s="1"/>
  <c r="I43" i="2"/>
  <c r="H43" i="2"/>
  <c r="G43" i="2"/>
  <c r="F43" i="2"/>
  <c r="O15" i="2"/>
  <c r="O27" i="2" s="1"/>
  <c r="N43" i="2" l="1"/>
  <c r="N15" i="2"/>
  <c r="K24" i="2"/>
  <c r="M24" i="2"/>
  <c r="S24" i="2" s="1"/>
  <c r="F15" i="2"/>
  <c r="F27" i="2" s="1"/>
  <c r="H15" i="2"/>
  <c r="H27" i="2" s="1"/>
  <c r="G15" i="2"/>
  <c r="G27" i="2" s="1"/>
  <c r="M33" i="2"/>
  <c r="S33" i="2" s="1"/>
  <c r="K33" i="2"/>
  <c r="M19" i="2"/>
  <c r="S19" i="2" s="1"/>
  <c r="J10" i="2"/>
  <c r="M10" i="2" s="1"/>
  <c r="C46" i="2" l="1"/>
  <c r="D49" i="2" s="1"/>
  <c r="E49" i="2" s="1"/>
  <c r="D53" i="2"/>
  <c r="K10" i="2"/>
  <c r="K12" i="2" s="1"/>
  <c r="J12" i="2"/>
  <c r="D11" i="2"/>
  <c r="D4" i="2"/>
  <c r="B4" i="10" s="1"/>
  <c r="D3" i="2"/>
  <c r="B3" i="10" s="1"/>
  <c r="D2" i="2"/>
  <c r="B2" i="10" s="1"/>
  <c r="L10" i="2" l="1"/>
  <c r="L12" i="2" s="1"/>
  <c r="M12" i="2"/>
  <c r="S10" i="2"/>
  <c r="J15" i="2"/>
  <c r="R70" i="2"/>
  <c r="R22" i="2" s="1"/>
  <c r="Q70" i="2"/>
  <c r="Q22" i="2" s="1"/>
  <c r="P70" i="2"/>
  <c r="P22" i="2" s="1"/>
  <c r="O70" i="2"/>
  <c r="D18" i="2" l="1"/>
  <c r="K4" i="10"/>
  <c r="G10" i="10" s="1"/>
  <c r="S12" i="2"/>
  <c r="M15" i="2"/>
  <c r="D10" i="10" s="1"/>
  <c r="D55" i="2"/>
  <c r="F18" i="2"/>
  <c r="O18" i="2" s="1"/>
  <c r="I18" i="2"/>
  <c r="R18" i="2" s="1"/>
  <c r="G18" i="2"/>
  <c r="P18" i="2" s="1"/>
  <c r="H18" i="2"/>
  <c r="Q18" i="2" s="1"/>
  <c r="O22" i="2"/>
  <c r="J13" i="2"/>
  <c r="D14" i="2"/>
  <c r="O43" i="2"/>
  <c r="G11" i="10" l="1"/>
  <c r="H11" i="10" s="1"/>
  <c r="G14" i="10"/>
  <c r="H14" i="10" s="1"/>
  <c r="G12" i="10"/>
  <c r="H12" i="10" s="1"/>
  <c r="H20" i="2"/>
  <c r="Q20" i="2"/>
  <c r="Q23" i="2" s="1"/>
  <c r="Q26" i="2" s="1"/>
  <c r="Q28" i="2" s="1"/>
  <c r="I20" i="2"/>
  <c r="R20" i="2"/>
  <c r="R23" i="2" s="1"/>
  <c r="R26" i="2" s="1"/>
  <c r="R28" i="2" s="1"/>
  <c r="G20" i="2"/>
  <c r="P20" i="2"/>
  <c r="O20" i="2"/>
  <c r="F20" i="2"/>
  <c r="F60" i="3"/>
  <c r="G60" i="3"/>
  <c r="M52" i="3"/>
  <c r="O52" i="3" s="1"/>
  <c r="M51" i="3"/>
  <c r="O51" i="3" s="1"/>
  <c r="M48" i="3"/>
  <c r="O48" i="3" s="1"/>
  <c r="M43" i="3"/>
  <c r="O43" i="3" s="1"/>
  <c r="M42" i="3"/>
  <c r="O42" i="3" s="1"/>
  <c r="M39" i="3"/>
  <c r="O39" i="3" s="1"/>
  <c r="M36" i="3"/>
  <c r="O36" i="3" s="1"/>
  <c r="M35" i="3"/>
  <c r="M40" i="3" s="1"/>
  <c r="M32" i="3"/>
  <c r="O32" i="3" s="1"/>
  <c r="M27" i="3"/>
  <c r="O27" i="3" s="1"/>
  <c r="M26" i="3"/>
  <c r="M11" i="3"/>
  <c r="O11" i="3" s="1"/>
  <c r="M8" i="3"/>
  <c r="M9" i="3" s="1"/>
  <c r="S69" i="2"/>
  <c r="S68" i="2"/>
  <c r="S67" i="2"/>
  <c r="S66" i="2"/>
  <c r="S65" i="2"/>
  <c r="S64" i="2"/>
  <c r="S63" i="2"/>
  <c r="L63" i="2"/>
  <c r="R43" i="2"/>
  <c r="K43" i="2"/>
  <c r="L24" i="2"/>
  <c r="L19" i="2"/>
  <c r="P23" i="2" l="1"/>
  <c r="P26" i="2" s="1"/>
  <c r="P28" i="2" s="1"/>
  <c r="O23" i="2"/>
  <c r="O26" i="2" s="1"/>
  <c r="O28" i="2" s="1"/>
  <c r="O35" i="3"/>
  <c r="O40" i="3" s="1"/>
  <c r="O26" i="3"/>
  <c r="O33" i="3" s="1"/>
  <c r="M33" i="3"/>
  <c r="O8" i="3"/>
  <c r="O9" i="3" s="1"/>
  <c r="M10" i="3"/>
  <c r="L33" i="2"/>
  <c r="O10" i="3" l="1"/>
  <c r="Q43" i="2"/>
  <c r="P43" i="2"/>
  <c r="M53" i="3" l="1"/>
  <c r="N53" i="3"/>
  <c r="L53" i="3"/>
  <c r="J53" i="3"/>
  <c r="I53" i="3"/>
  <c r="H53" i="3"/>
  <c r="D53" i="3"/>
  <c r="M49" i="3"/>
  <c r="N49" i="3"/>
  <c r="L49" i="3"/>
  <c r="J49" i="3"/>
  <c r="I49" i="3"/>
  <c r="H49" i="3"/>
  <c r="D49" i="3"/>
  <c r="C49" i="3"/>
  <c r="C54" i="3" s="1"/>
  <c r="C60" i="3" s="1"/>
  <c r="M24" i="3"/>
  <c r="N24" i="3"/>
  <c r="L24" i="3"/>
  <c r="J24" i="3"/>
  <c r="I24" i="3"/>
  <c r="H24" i="3"/>
  <c r="D24" i="3"/>
  <c r="K52" i="3"/>
  <c r="Q52" i="3" s="1"/>
  <c r="E52" i="3"/>
  <c r="K51" i="3"/>
  <c r="Q51" i="3" s="1"/>
  <c r="E51" i="3"/>
  <c r="E53" i="3" s="1"/>
  <c r="K48" i="3"/>
  <c r="Q48" i="3" s="1"/>
  <c r="E48" i="3"/>
  <c r="K43" i="3"/>
  <c r="Q43" i="3" s="1"/>
  <c r="E43" i="3"/>
  <c r="K42" i="3"/>
  <c r="Q42" i="3" s="1"/>
  <c r="E42" i="3"/>
  <c r="E49" i="3" s="1"/>
  <c r="K39" i="3"/>
  <c r="Q39" i="3" s="1"/>
  <c r="E39" i="3"/>
  <c r="K36" i="3"/>
  <c r="Q36" i="3" s="1"/>
  <c r="E36" i="3"/>
  <c r="K35" i="3"/>
  <c r="K40" i="3" s="1"/>
  <c r="E35" i="3"/>
  <c r="E40" i="3" s="1"/>
  <c r="K32" i="3"/>
  <c r="Q32" i="3" s="1"/>
  <c r="E32" i="3"/>
  <c r="K27" i="3"/>
  <c r="Q27" i="3" s="1"/>
  <c r="E27" i="3"/>
  <c r="K26" i="3"/>
  <c r="E26" i="3"/>
  <c r="E33" i="3" s="1"/>
  <c r="K11" i="3"/>
  <c r="E11" i="3"/>
  <c r="E24" i="3" s="1"/>
  <c r="L54" i="3"/>
  <c r="L60" i="3" s="1"/>
  <c r="K8" i="3"/>
  <c r="K9" i="3" s="1"/>
  <c r="D54" i="3"/>
  <c r="D60" i="3" s="1"/>
  <c r="E17" i="2" l="1"/>
  <c r="N17" i="2" s="1"/>
  <c r="N27" i="2" s="1"/>
  <c r="J17" i="2"/>
  <c r="H54" i="3"/>
  <c r="H60" i="3" s="1"/>
  <c r="Q35" i="3"/>
  <c r="Q40" i="3" s="1"/>
  <c r="Q26" i="3"/>
  <c r="Q33" i="3" s="1"/>
  <c r="K33" i="3"/>
  <c r="K10" i="3"/>
  <c r="E10" i="3"/>
  <c r="Q8" i="3"/>
  <c r="Q9" i="3" s="1"/>
  <c r="K54" i="2"/>
  <c r="I54" i="3"/>
  <c r="I60" i="3" s="1"/>
  <c r="N54" i="3"/>
  <c r="N60" i="3" s="1"/>
  <c r="K24" i="3"/>
  <c r="M54" i="3"/>
  <c r="M60" i="3" s="1"/>
  <c r="M43" i="2"/>
  <c r="S43" i="2" s="1"/>
  <c r="K49" i="3"/>
  <c r="K53" i="3"/>
  <c r="J54" i="3"/>
  <c r="J60" i="3" s="1"/>
  <c r="P8" i="3"/>
  <c r="P9" i="3" s="1"/>
  <c r="O53" i="3"/>
  <c r="P51" i="3"/>
  <c r="P52" i="3"/>
  <c r="O49" i="3"/>
  <c r="Q49" i="3"/>
  <c r="P42" i="3"/>
  <c r="P43" i="3"/>
  <c r="P48" i="3"/>
  <c r="P35" i="3"/>
  <c r="P36" i="3"/>
  <c r="P39" i="3"/>
  <c r="P26" i="3"/>
  <c r="P27" i="3"/>
  <c r="P32" i="3"/>
  <c r="O24" i="3"/>
  <c r="P11" i="3"/>
  <c r="Q11" i="3"/>
  <c r="Q24" i="3" s="1"/>
  <c r="E27" i="2" l="1"/>
  <c r="P40" i="3"/>
  <c r="K17" i="2"/>
  <c r="M17" i="2"/>
  <c r="S17" i="2" s="1"/>
  <c r="L17" i="2"/>
  <c r="J27" i="2"/>
  <c r="E18" i="2"/>
  <c r="N18" i="2" s="1"/>
  <c r="D57" i="2"/>
  <c r="D17" i="2"/>
  <c r="P33" i="3"/>
  <c r="P10" i="3"/>
  <c r="Q10" i="3"/>
  <c r="D58" i="2"/>
  <c r="E54" i="3"/>
  <c r="E60" i="3" s="1"/>
  <c r="K15" i="2"/>
  <c r="K27" i="2" s="1"/>
  <c r="K54" i="3"/>
  <c r="K60" i="3" s="1"/>
  <c r="O54" i="3"/>
  <c r="O60" i="3" s="1"/>
  <c r="Q53" i="3"/>
  <c r="P24" i="3"/>
  <c r="P49" i="3"/>
  <c r="P53" i="3"/>
  <c r="L43" i="2"/>
  <c r="N20" i="2" l="1"/>
  <c r="N23" i="2" s="1"/>
  <c r="N26" i="2" s="1"/>
  <c r="N28" i="2" s="1"/>
  <c r="E20" i="2"/>
  <c r="J18" i="2"/>
  <c r="Q54" i="3"/>
  <c r="Q60" i="3" s="1"/>
  <c r="P54" i="3"/>
  <c r="P60" i="3" s="1"/>
  <c r="K18" i="2" l="1"/>
  <c r="M18" i="2"/>
  <c r="J20" i="2"/>
  <c r="S15" i="2"/>
  <c r="M27" i="2"/>
  <c r="S27" i="2" s="1"/>
  <c r="L15" i="2"/>
  <c r="L27" i="2" s="1"/>
  <c r="K70" i="2"/>
  <c r="G70" i="2"/>
  <c r="G22" i="2" s="1"/>
  <c r="G23" i="2" s="1"/>
  <c r="G26" i="2" s="1"/>
  <c r="G28" i="2" s="1"/>
  <c r="F70" i="2"/>
  <c r="F22" i="2" s="1"/>
  <c r="F23" i="2" s="1"/>
  <c r="F26" i="2" s="1"/>
  <c r="F28" i="2" s="1"/>
  <c r="I70" i="2"/>
  <c r="I22" i="2" s="1"/>
  <c r="I23" i="2" s="1"/>
  <c r="I26" i="2" s="1"/>
  <c r="I28" i="2" s="1"/>
  <c r="H70" i="2"/>
  <c r="H22" i="2" s="1"/>
  <c r="H23" i="2" s="1"/>
  <c r="H26" i="2" s="1"/>
  <c r="H28" i="2" s="1"/>
  <c r="M70" i="2"/>
  <c r="E10" i="10" s="1"/>
  <c r="F10" i="10" s="1"/>
  <c r="L70" i="2"/>
  <c r="J22" i="2"/>
  <c r="S70" i="2" l="1"/>
  <c r="H10" i="10"/>
  <c r="H15" i="10" s="1"/>
  <c r="S18" i="2"/>
  <c r="M20" i="2"/>
  <c r="S20" i="2" s="1"/>
  <c r="K20" i="2"/>
  <c r="L18" i="2"/>
  <c r="L20" i="2" s="1"/>
  <c r="K22" i="2"/>
  <c r="E22" i="2"/>
  <c r="E23" i="2" s="1"/>
  <c r="E26" i="2" s="1"/>
  <c r="E28" i="2" s="1"/>
  <c r="J23" i="2"/>
  <c r="J26" i="2" s="1"/>
  <c r="J28" i="2" s="1"/>
  <c r="M22" i="2"/>
  <c r="K23" i="2" l="1"/>
  <c r="K26" i="2" s="1"/>
  <c r="K28" i="2" s="1"/>
  <c r="M23" i="2"/>
  <c r="S22" i="2"/>
  <c r="L22" i="2"/>
  <c r="L23" i="2" s="1"/>
  <c r="L26" i="2" s="1"/>
  <c r="L28" i="2" s="1"/>
  <c r="M26" i="2" l="1"/>
  <c r="S23" i="2"/>
  <c r="M28" i="2" l="1"/>
  <c r="S28" i="2" s="1"/>
  <c r="S26" i="2"/>
  <c r="D59" i="9"/>
  <c r="I56" i="9"/>
  <c r="I59" i="9" s="1"/>
  <c r="I61" i="9" s="1"/>
  <c r="F56" i="9"/>
  <c r="F59" i="9" s="1"/>
  <c r="F61" i="9" s="1"/>
  <c r="G56" i="9"/>
  <c r="G59" i="9" s="1"/>
  <c r="G61" i="9" s="1"/>
  <c r="H56" i="9"/>
  <c r="H59" i="9" s="1"/>
  <c r="H61" i="9" s="1"/>
  <c r="E56" i="9"/>
  <c r="J56" i="9" s="1"/>
  <c r="I62" i="9" l="1"/>
  <c r="L49" i="9"/>
  <c r="K49" i="9" s="1"/>
  <c r="J59" i="9"/>
  <c r="J61" i="9" s="1"/>
  <c r="F62" i="9"/>
  <c r="H62" i="9"/>
  <c r="G62" i="9"/>
  <c r="E59" i="9"/>
  <c r="E61" i="9" s="1"/>
  <c r="E17" i="9" l="1"/>
  <c r="N17" i="9" s="1"/>
  <c r="E62" i="9"/>
  <c r="J62" i="9" s="1"/>
  <c r="L52" i="9"/>
  <c r="K52" i="9" s="1"/>
  <c r="M49" i="9"/>
  <c r="M52" i="9" s="1"/>
  <c r="M54" i="9" s="1"/>
  <c r="L54" i="9" l="1"/>
  <c r="K54" i="9" s="1"/>
  <c r="E18" i="9"/>
  <c r="N18" i="9" s="1"/>
  <c r="E27" i="9"/>
  <c r="N20" i="9" l="1"/>
  <c r="N27" i="9"/>
  <c r="E20" i="9"/>
  <c r="E23" i="9" s="1"/>
  <c r="E26" i="9" s="1"/>
  <c r="E28" i="9" s="1"/>
  <c r="N23" i="9" l="1"/>
  <c r="N26" i="9" l="1"/>
  <c r="N28" i="9" l="1"/>
  <c r="G191" i="9"/>
  <c r="G192" i="9" s="1"/>
  <c r="F191" i="9"/>
  <c r="F192" i="9" l="1"/>
  <c r="F193" i="9" s="1"/>
  <c r="G193" i="9"/>
  <c r="G17" i="9"/>
  <c r="F17" i="9"/>
  <c r="I191" i="9"/>
  <c r="I192" i="9" s="1"/>
  <c r="H191" i="9"/>
  <c r="H192" i="9" s="1"/>
  <c r="J191" i="9" l="1"/>
  <c r="H193" i="9"/>
  <c r="H17" i="9"/>
  <c r="I193" i="9"/>
  <c r="I17" i="9"/>
  <c r="F27" i="9"/>
  <c r="F18" i="9"/>
  <c r="F20" i="9" s="1"/>
  <c r="F23" i="9" s="1"/>
  <c r="F26" i="9" s="1"/>
  <c r="F28" i="9" s="1"/>
  <c r="O17" i="9"/>
  <c r="G18" i="9"/>
  <c r="P18" i="9" s="1"/>
  <c r="G27" i="9"/>
  <c r="G20" i="9"/>
  <c r="G23" i="9" s="1"/>
  <c r="G26" i="9" s="1"/>
  <c r="G28" i="9" s="1"/>
  <c r="P17" i="9"/>
  <c r="L175" i="9" l="1"/>
  <c r="M175" i="9" s="1"/>
  <c r="J192" i="9"/>
  <c r="K175" i="9"/>
  <c r="P27" i="9"/>
  <c r="P20" i="9"/>
  <c r="P23" i="9" s="1"/>
  <c r="P26" i="9" s="1"/>
  <c r="P28" i="9" s="1"/>
  <c r="O27" i="9"/>
  <c r="I18" i="9"/>
  <c r="R18" i="9" s="1"/>
  <c r="R17" i="9"/>
  <c r="I27" i="9"/>
  <c r="H18" i="9"/>
  <c r="Q18" i="9" s="1"/>
  <c r="Q17" i="9"/>
  <c r="H27" i="9"/>
  <c r="J18" i="9"/>
  <c r="O18" i="9"/>
  <c r="K18" i="9" l="1"/>
  <c r="M18" i="9"/>
  <c r="G13" i="10" s="1"/>
  <c r="G15" i="10" s="1"/>
  <c r="L18" i="9"/>
  <c r="S18" i="9"/>
  <c r="H20" i="9"/>
  <c r="H23" i="9" s="1"/>
  <c r="H26" i="9" s="1"/>
  <c r="H28" i="9" s="1"/>
  <c r="I20" i="9"/>
  <c r="I23" i="9" s="1"/>
  <c r="I26" i="9" s="1"/>
  <c r="I28" i="9" s="1"/>
  <c r="O20" i="9"/>
  <c r="K176" i="9"/>
  <c r="J193" i="9"/>
  <c r="L176" i="9"/>
  <c r="M176" i="9" s="1"/>
  <c r="J17" i="9"/>
  <c r="Q27" i="9"/>
  <c r="Q20" i="9"/>
  <c r="Q23" i="9" s="1"/>
  <c r="Q26" i="9" s="1"/>
  <c r="R27" i="9"/>
  <c r="R20" i="9"/>
  <c r="R23" i="9" s="1"/>
  <c r="R26" i="9" s="1"/>
  <c r="R28" i="9" l="1"/>
  <c r="Q28" i="9"/>
  <c r="P54" i="9"/>
  <c r="K17" i="9"/>
  <c r="L17" i="9" s="1"/>
  <c r="J27" i="9"/>
  <c r="D17" i="9"/>
  <c r="J20" i="9"/>
  <c r="J23" i="9" s="1"/>
  <c r="J26" i="9" s="1"/>
  <c r="J28" i="9" s="1"/>
  <c r="M17" i="9"/>
  <c r="O23" i="9"/>
  <c r="O26" i="9" l="1"/>
  <c r="M20" i="9"/>
  <c r="M27" i="9"/>
  <c r="S27" i="9" s="1"/>
  <c r="S17" i="9"/>
  <c r="K27" i="9"/>
  <c r="K20" i="9"/>
  <c r="K23" i="9" s="1"/>
  <c r="K26" i="9" s="1"/>
  <c r="L27" i="9"/>
  <c r="L20" i="9"/>
  <c r="L23" i="9" s="1"/>
  <c r="L26" i="9" s="1"/>
  <c r="L28" i="9" s="1"/>
  <c r="K28" i="9" l="1"/>
  <c r="O28" i="9"/>
  <c r="M23" i="9"/>
  <c r="S20" i="9"/>
  <c r="M26" i="9" l="1"/>
  <c r="S23" i="9"/>
  <c r="M28" i="9" l="1"/>
  <c r="S28" i="9" s="1"/>
  <c r="S26" i="9"/>
</calcChain>
</file>

<file path=xl/comments1.xml><?xml version="1.0" encoding="utf-8"?>
<comments xmlns="http://schemas.openxmlformats.org/spreadsheetml/2006/main">
  <authors>
    <author>nwatson</author>
    <author>martineb</author>
  </authors>
  <commentList>
    <comment ref="B10" authorId="0">
      <text>
        <r>
          <rPr>
            <b/>
            <sz val="8"/>
            <color indexed="81"/>
            <rFont val="Tahoma"/>
            <family val="2"/>
          </rPr>
          <t xml:space="preserve">nwatson: 
</t>
        </r>
        <r>
          <rPr>
            <sz val="10"/>
            <color indexed="81"/>
            <rFont val="Tahoma"/>
            <family val="2"/>
          </rPr>
          <t>Enter date encumbered in project.</t>
        </r>
      </text>
    </comment>
    <comment ref="E17" authorId="0">
      <text>
        <r>
          <rPr>
            <b/>
            <sz val="8"/>
            <color indexed="81"/>
            <rFont val="Tahoma"/>
            <family val="2"/>
          </rPr>
          <t>nwatson:</t>
        </r>
        <r>
          <rPr>
            <sz val="8"/>
            <color indexed="81"/>
            <rFont val="Tahoma"/>
            <family val="2"/>
          </rPr>
          <t xml:space="preserve">
Dear template user,
If this contract is not a  construction managmenet (Trades) contract, than override this completed to date amount with the certificate amount.</t>
        </r>
      </text>
    </comment>
    <comment ref="C18" authorId="0">
      <text>
        <r>
          <rPr>
            <b/>
            <sz val="8"/>
            <color indexed="81"/>
            <rFont val="Tahoma"/>
            <family val="2"/>
          </rPr>
          <t>nwatson:</t>
        </r>
        <r>
          <rPr>
            <sz val="8"/>
            <color indexed="81"/>
            <rFont val="Tahoma"/>
            <family val="2"/>
          </rPr>
          <t xml:space="preserve">
46 calendare days after substantial performance date.  Note: if the due date falls on a weekend day, payment is due the following business day.</t>
        </r>
      </text>
    </comment>
    <comment ref="D53" authorId="1">
      <text>
        <r>
          <rPr>
            <b/>
            <sz val="8"/>
            <color indexed="81"/>
            <rFont val="Tahoma"/>
            <family val="2"/>
          </rPr>
          <t>martineb:</t>
        </r>
        <r>
          <rPr>
            <sz val="8"/>
            <color indexed="81"/>
            <rFont val="Tahoma"/>
            <family val="2"/>
          </rPr>
          <t xml:space="preserve">
formula change</t>
        </r>
      </text>
    </comment>
    <comment ref="D55" authorId="1">
      <text>
        <r>
          <rPr>
            <b/>
            <sz val="8"/>
            <color indexed="81"/>
            <rFont val="Tahoma"/>
            <family val="2"/>
          </rPr>
          <t>martineb:</t>
        </r>
        <r>
          <rPr>
            <sz val="8"/>
            <color indexed="81"/>
            <rFont val="Tahoma"/>
            <family val="2"/>
          </rPr>
          <t xml:space="preserve">
get info in above cell
</t>
        </r>
      </text>
    </comment>
  </commentList>
</comments>
</file>

<file path=xl/comments2.xml><?xml version="1.0" encoding="utf-8"?>
<comments xmlns="http://schemas.openxmlformats.org/spreadsheetml/2006/main">
  <authors>
    <author>nwatson</author>
    <author>martineb</author>
  </authors>
  <commentList>
    <comment ref="C10" authorId="0">
      <text>
        <r>
          <rPr>
            <b/>
            <sz val="8"/>
            <color indexed="81"/>
            <rFont val="Tahoma"/>
            <family val="2"/>
          </rPr>
          <t>nwatson:</t>
        </r>
        <r>
          <rPr>
            <sz val="8"/>
            <color indexed="81"/>
            <rFont val="Tahoma"/>
            <family val="2"/>
          </rPr>
          <t xml:space="preserve">
Enter date encumbered in project.</t>
        </r>
      </text>
    </comment>
    <comment ref="D222" authorId="1">
      <text>
        <r>
          <rPr>
            <b/>
            <sz val="8"/>
            <color indexed="81"/>
            <rFont val="Tahoma"/>
            <family val="2"/>
          </rPr>
          <t>martineb:</t>
        </r>
        <r>
          <rPr>
            <sz val="8"/>
            <color indexed="81"/>
            <rFont val="Tahoma"/>
            <family val="2"/>
          </rPr>
          <t xml:space="preserve">
formula change</t>
        </r>
      </text>
    </comment>
    <comment ref="D224" authorId="1">
      <text>
        <r>
          <rPr>
            <b/>
            <sz val="8"/>
            <color indexed="81"/>
            <rFont val="Tahoma"/>
            <family val="2"/>
          </rPr>
          <t>martineb:</t>
        </r>
        <r>
          <rPr>
            <sz val="8"/>
            <color indexed="81"/>
            <rFont val="Tahoma"/>
            <family val="2"/>
          </rPr>
          <t xml:space="preserve">
get info in above cell
</t>
        </r>
      </text>
    </comment>
  </commentList>
</comments>
</file>

<file path=xl/sharedStrings.xml><?xml version="1.0" encoding="utf-8"?>
<sst xmlns="http://schemas.openxmlformats.org/spreadsheetml/2006/main" count="483" uniqueCount="326">
  <si>
    <t>Total</t>
  </si>
  <si>
    <t>Original Contract</t>
  </si>
  <si>
    <t>greater than:</t>
  </si>
  <si>
    <t>Threshold for holdback:</t>
  </si>
  <si>
    <t>Contract Value</t>
  </si>
  <si>
    <t>Percentage held:</t>
  </si>
  <si>
    <t>Value to date:</t>
  </si>
  <si>
    <t>Amount to be held :</t>
  </si>
  <si>
    <t>Completed to date</t>
  </si>
  <si>
    <t>Invoice number:</t>
  </si>
  <si>
    <t>Authorized to date</t>
  </si>
  <si>
    <t>Total Payable</t>
  </si>
  <si>
    <t>Project</t>
  </si>
  <si>
    <t>Name</t>
  </si>
  <si>
    <t>Item #</t>
  </si>
  <si>
    <t>Contract Details</t>
  </si>
  <si>
    <t>Concrete</t>
  </si>
  <si>
    <t>Masonry</t>
  </si>
  <si>
    <t>Specialties</t>
  </si>
  <si>
    <t>Special Construction</t>
  </si>
  <si>
    <t>Electrical</t>
  </si>
  <si>
    <t>B</t>
  </si>
  <si>
    <t>E</t>
  </si>
  <si>
    <t>F</t>
  </si>
  <si>
    <t>Initial Budget</t>
  </si>
  <si>
    <t>Info</t>
  </si>
  <si>
    <t>Contracts</t>
  </si>
  <si>
    <t>Change Orders</t>
  </si>
  <si>
    <t>Purchases &amp; internal Labour</t>
  </si>
  <si>
    <t>Total Contract</t>
  </si>
  <si>
    <t>Previously Certified</t>
  </si>
  <si>
    <t>This Payment</t>
  </si>
  <si>
    <t>Budget Balance</t>
  </si>
  <si>
    <t>Contract Balance</t>
  </si>
  <si>
    <t>Holdback</t>
  </si>
  <si>
    <t>Documents required (*)</t>
  </si>
  <si>
    <t>Specification</t>
  </si>
  <si>
    <t>Publication</t>
  </si>
  <si>
    <t>Competitive price</t>
  </si>
  <si>
    <t>Competitive price summary sheet</t>
  </si>
  <si>
    <t>Letter of regret</t>
  </si>
  <si>
    <t>Approbation</t>
  </si>
  <si>
    <t>Debit</t>
  </si>
  <si>
    <t>HST</t>
  </si>
  <si>
    <t>HST Payable:</t>
  </si>
  <si>
    <t>HST Rebate:</t>
  </si>
  <si>
    <t>Full HST:</t>
  </si>
  <si>
    <t>Description:</t>
  </si>
  <si>
    <t>Banner date:</t>
  </si>
  <si>
    <t>Banner number:</t>
  </si>
  <si>
    <t>Sales Tax Details:</t>
  </si>
  <si>
    <t>Amount</t>
  </si>
  <si>
    <t>Payment Sheet Contract/ Work Order Details</t>
  </si>
  <si>
    <t>Deficiencies</t>
  </si>
  <si>
    <t>Payable amount</t>
  </si>
  <si>
    <t>Actual payment</t>
  </si>
  <si>
    <t>Authorized payable</t>
  </si>
  <si>
    <t>Unauthorized payable</t>
  </si>
  <si>
    <t>Note 1: Change orders</t>
  </si>
  <si>
    <r>
      <t xml:space="preserve">Change orders </t>
    </r>
    <r>
      <rPr>
        <sz val="10"/>
        <color rgb="FF3A477E"/>
        <rFont val="Calibri"/>
        <family val="2"/>
      </rPr>
      <t>(note 1)</t>
    </r>
  </si>
  <si>
    <t xml:space="preserve">Hold Back </t>
  </si>
  <si>
    <t>Paid to date (note 2)</t>
  </si>
  <si>
    <t>Note 2: Amount Paid to Date</t>
  </si>
  <si>
    <t xml:space="preserve"> Hold Back</t>
  </si>
  <si>
    <t xml:space="preserve">Total contract Value </t>
  </si>
  <si>
    <t>Subtotal Contract Value</t>
  </si>
  <si>
    <t>Variance</t>
  </si>
  <si>
    <t>Work Completed</t>
  </si>
  <si>
    <t>Required</t>
  </si>
  <si>
    <t>Date</t>
  </si>
  <si>
    <t>Revised Estimate</t>
  </si>
  <si>
    <t>C 1</t>
  </si>
  <si>
    <t>A 1</t>
  </si>
  <si>
    <t>A 2</t>
  </si>
  <si>
    <t>A 3 (A 1-A 2)</t>
  </si>
  <si>
    <t>C 2</t>
  </si>
  <si>
    <t>C 3</t>
  </si>
  <si>
    <t>C 4(C 1+C 2+C 3)</t>
  </si>
  <si>
    <t>D</t>
  </si>
  <si>
    <t>G (D-E-F)</t>
  </si>
  <si>
    <t>H (A 2-C 4)</t>
  </si>
  <si>
    <t>I (C 4-D)</t>
  </si>
  <si>
    <t>4001WO</t>
  </si>
  <si>
    <t>Requirement Status</t>
  </si>
  <si>
    <t>Standing offer (contractor, consultant, furniture, roofing)</t>
  </si>
  <si>
    <t>verif</t>
  </si>
  <si>
    <t>Change order not validated in project (note 1)</t>
  </si>
  <si>
    <t>Validation</t>
  </si>
  <si>
    <t>Change Order Split Debit Amounts</t>
  </si>
  <si>
    <t>Split Debit Amounts</t>
  </si>
  <si>
    <t>Payments Split Debit Amounts</t>
  </si>
  <si>
    <t xml:space="preserve">Certified by </t>
  </si>
  <si>
    <t>HB due date:</t>
  </si>
  <si>
    <t>Requirements</t>
  </si>
  <si>
    <t>Facility Construction</t>
  </si>
  <si>
    <t>Existing Conditions</t>
  </si>
  <si>
    <t>Metals</t>
  </si>
  <si>
    <t>Wood, Plastics and Composites</t>
  </si>
  <si>
    <t>Thermal and Moisture Protection</t>
  </si>
  <si>
    <t>Openings</t>
  </si>
  <si>
    <t>Finishes</t>
  </si>
  <si>
    <t>Equipment</t>
  </si>
  <si>
    <t>Furnishings</t>
  </si>
  <si>
    <t>Conveying Equipment</t>
  </si>
  <si>
    <t>Facility Services</t>
  </si>
  <si>
    <t>Fire Suppression</t>
  </si>
  <si>
    <t>Plumbing</t>
  </si>
  <si>
    <t>Heating, Ventilating and Air-Conditioning (HVAC)</t>
  </si>
  <si>
    <t>Integrated Automation</t>
  </si>
  <si>
    <t>Communications</t>
  </si>
  <si>
    <t>Electronic Safety and Security</t>
  </si>
  <si>
    <t xml:space="preserve">Site and Infrastructure </t>
  </si>
  <si>
    <t>Earthwork</t>
  </si>
  <si>
    <t>Exterior Improvements</t>
  </si>
  <si>
    <t>Utilities</t>
  </si>
  <si>
    <t>Transportation</t>
  </si>
  <si>
    <t>Waterway and Marine Construction</t>
  </si>
  <si>
    <t>Process Integration</t>
  </si>
  <si>
    <t>Material Processing and Handling Equipment</t>
  </si>
  <si>
    <t>Process Heating, Cooling and Drying Equipment</t>
  </si>
  <si>
    <t>Process Gas and Liquid Handling, Purification and Storage Equipment</t>
  </si>
  <si>
    <t>Pollution Control Equipment</t>
  </si>
  <si>
    <t>Industry-Specific Manufacturing Equipment</t>
  </si>
  <si>
    <t>Electrical Power Generation</t>
  </si>
  <si>
    <t>Contingency</t>
  </si>
  <si>
    <t>Other Fees</t>
  </si>
  <si>
    <t>Supervision Fee</t>
  </si>
  <si>
    <t>TOTAL Construction Management Contract</t>
  </si>
  <si>
    <t>TOTAL Construction Cost</t>
  </si>
  <si>
    <t xml:space="preserve">         Construction Management Fees</t>
  </si>
  <si>
    <t>Management Fee</t>
  </si>
  <si>
    <t>General Requirements</t>
  </si>
  <si>
    <t>Not Validated</t>
  </si>
  <si>
    <t>Validated</t>
  </si>
  <si>
    <t>Included</t>
  </si>
  <si>
    <t>Excluded</t>
  </si>
  <si>
    <t>Contract Document Summary Sheet</t>
  </si>
  <si>
    <t>Bidding Documents</t>
  </si>
  <si>
    <t>If applicable</t>
  </si>
  <si>
    <t>Digital</t>
  </si>
  <si>
    <t xml:space="preserve"> Tender Specifications</t>
  </si>
  <si>
    <t xml:space="preserve"> Publication in OCA/Merx</t>
  </si>
  <si>
    <t xml:space="preserve"> Publication in Le droit</t>
  </si>
  <si>
    <t xml:space="preserve"> Publication in the Citizen</t>
  </si>
  <si>
    <t xml:space="preserve"> Quote</t>
  </si>
  <si>
    <t xml:space="preserve"> Tender</t>
  </si>
  <si>
    <t xml:space="preserve"> Tender Summary Sheet</t>
  </si>
  <si>
    <t xml:space="preserve"> Evaluation and Score Sheet Sage #1</t>
  </si>
  <si>
    <t xml:space="preserve"> Evaluation and Score Sheet Stage #2</t>
  </si>
  <si>
    <t xml:space="preserve"> Letter of Recommendation</t>
  </si>
  <si>
    <t xml:space="preserve"> Letter of Regret Stage #1</t>
  </si>
  <si>
    <t xml:space="preserve"> Letter of Regret Stage #2</t>
  </si>
  <si>
    <t xml:space="preserve"> Exception Form</t>
  </si>
  <si>
    <t xml:space="preserve"> Administrative Committee Approval</t>
  </si>
  <si>
    <t xml:space="preserve"> Board of Governor's Approval</t>
  </si>
  <si>
    <t>Contract</t>
  </si>
  <si>
    <t xml:space="preserve"> Letter of Intent</t>
  </si>
  <si>
    <t xml:space="preserve"> Work Order Draft</t>
  </si>
  <si>
    <t xml:space="preserve"> Work Order</t>
  </si>
  <si>
    <t xml:space="preserve"> CCDC2</t>
  </si>
  <si>
    <t xml:space="preserve"> Contract for Architectural Services Document 600</t>
  </si>
  <si>
    <t>Certificates, Insurances, Liens</t>
  </si>
  <si>
    <t xml:space="preserve"> Insurance</t>
  </si>
  <si>
    <t xml:space="preserve"> WSIB</t>
  </si>
  <si>
    <t xml:space="preserve"> Lien Verification</t>
  </si>
  <si>
    <t>Payments (can have multiple #001, #002, etc..)</t>
  </si>
  <si>
    <t xml:space="preserve"> Contract Balance Approval</t>
  </si>
  <si>
    <t>Others</t>
  </si>
  <si>
    <t xml:space="preserve"> Financial Report</t>
  </si>
  <si>
    <t xml:space="preserve"> Payment Sheet (incl. Contract Document Summary Sheet)</t>
  </si>
  <si>
    <t xml:space="preserve"> Site visit Attendance Sheet</t>
  </si>
  <si>
    <t xml:space="preserve"> Proposal</t>
  </si>
  <si>
    <t xml:space="preserve"> Certificate of Publication</t>
  </si>
  <si>
    <t>Correspondence Contract Filing</t>
  </si>
  <si>
    <t>###-###-### 4001WO#### Subject(i.e. WODraft) YYMMDD.msg              (With attachments)</t>
  </si>
  <si>
    <t>Contract Number</t>
  </si>
  <si>
    <t>Change Order no.</t>
  </si>
  <si>
    <t>Payment no.</t>
  </si>
  <si>
    <t>Description</t>
  </si>
  <si>
    <t>Consultant Contract</t>
  </si>
  <si>
    <t>Original Contract Fees</t>
  </si>
  <si>
    <t>Fee type 1</t>
  </si>
  <si>
    <t>Fee type 2</t>
  </si>
  <si>
    <t>Fee type 3</t>
  </si>
  <si>
    <t>Sub Total Fees</t>
  </si>
  <si>
    <t>Disbursements</t>
  </si>
  <si>
    <t>% Complete</t>
  </si>
  <si>
    <t>Amount Complete</t>
  </si>
  <si>
    <t>Balance</t>
  </si>
  <si>
    <t>Sub Tolal Completed to date</t>
  </si>
  <si>
    <t>Project Manager Contract</t>
  </si>
  <si>
    <t>Original Project Budget</t>
  </si>
  <si>
    <t>Project Brief</t>
  </si>
  <si>
    <t>Project Revised (Modifier)</t>
  </si>
  <si>
    <t>Final Project Cost</t>
  </si>
  <si>
    <t>Fee Rate</t>
  </si>
  <si>
    <t>Basic Fee</t>
  </si>
  <si>
    <t>Complexity Charge</t>
  </si>
  <si>
    <t>Other</t>
  </si>
  <si>
    <t>Architect Contract</t>
  </si>
  <si>
    <t>Construction Costs Estimate</t>
  </si>
  <si>
    <t>General Contractor Name</t>
  </si>
  <si>
    <t xml:space="preserve">Original Signed General Contract </t>
  </si>
  <si>
    <t>Final Construction Contract Cost</t>
  </si>
  <si>
    <t>% work compete</t>
  </si>
  <si>
    <t>Furniture Costs Estimate</t>
  </si>
  <si>
    <t>Furniture Vendor Name</t>
  </si>
  <si>
    <t>Original Signed Furniture Contract</t>
  </si>
  <si>
    <t>Revised Furniture Contract (inc. Change Orders)</t>
  </si>
  <si>
    <t>Final Furniture Contract Cost</t>
  </si>
  <si>
    <t>Schematic Design</t>
  </si>
  <si>
    <t>Design Development</t>
  </si>
  <si>
    <t>Construction Documents</t>
  </si>
  <si>
    <t>Bid/Award</t>
  </si>
  <si>
    <t>Original Arcitect Fees on Furniture</t>
  </si>
  <si>
    <t>Total Original Contract</t>
  </si>
  <si>
    <t>Architect Fees on Furniture</t>
  </si>
  <si>
    <t>Work Completed to Date</t>
  </si>
  <si>
    <t>Certified Amount</t>
  </si>
  <si>
    <t>Total Basic Fees</t>
  </si>
  <si>
    <t>Total Revised Architec Fees</t>
  </si>
  <si>
    <t>Architectural Fees on Furniture</t>
  </si>
  <si>
    <t>This payment</t>
  </si>
  <si>
    <t>Revised General Contract (incl. Change Orders)</t>
  </si>
  <si>
    <t>Negotiated Fee</t>
  </si>
  <si>
    <t>Certified General Contract</t>
  </si>
  <si>
    <t>Contract Administration</t>
  </si>
  <si>
    <t>Record Documents</t>
  </si>
  <si>
    <t xml:space="preserve"> Certificate of Substantial Performance or</t>
  </si>
  <si>
    <t xml:space="preserve"> Statement of Deemed Completion of a Contract</t>
  </si>
  <si>
    <t>Fee change from Original</t>
  </si>
  <si>
    <t>OR</t>
  </si>
  <si>
    <t>Fee on latest budget</t>
  </si>
  <si>
    <t>Change Orders on Fees</t>
  </si>
  <si>
    <t>Change Orders on Furniture</t>
  </si>
  <si>
    <t>Payment Notes</t>
  </si>
  <si>
    <t>Payment Notes:</t>
  </si>
  <si>
    <t>Total Revised Architect Fees on Construction</t>
  </si>
  <si>
    <t>Total Revised Architect Fees on Furniture</t>
  </si>
  <si>
    <t>Total Work Complete on Construction</t>
  </si>
  <si>
    <t>Total Work Complete</t>
  </si>
  <si>
    <t>Total Basic Fee Work Complete</t>
  </si>
  <si>
    <t xml:space="preserve">Amount </t>
  </si>
  <si>
    <r>
      <t>Contract Type</t>
    </r>
    <r>
      <rPr>
        <vertAlign val="superscript"/>
        <sz val="11"/>
        <color rgb="FFFF0000"/>
        <rFont val="Calibri"/>
        <family val="2"/>
        <scheme val="minor"/>
      </rPr>
      <t>*</t>
    </r>
    <r>
      <rPr>
        <sz val="11"/>
        <color theme="0"/>
        <rFont val="Calibri"/>
        <family val="2"/>
        <scheme val="minor"/>
      </rPr>
      <t>:</t>
    </r>
  </si>
  <si>
    <t>Company Name:</t>
  </si>
  <si>
    <t>Certified by:</t>
  </si>
  <si>
    <t>Work Order:</t>
  </si>
  <si>
    <t>Project No.:</t>
  </si>
  <si>
    <t>Project Item No.:</t>
  </si>
  <si>
    <t>Project Type:</t>
  </si>
  <si>
    <r>
      <rPr>
        <sz val="9"/>
        <color rgb="FFFF0000"/>
        <rFont val="Calibri"/>
        <family val="2"/>
        <scheme val="minor"/>
      </rPr>
      <t>*</t>
    </r>
    <r>
      <rPr>
        <sz val="9"/>
        <rFont val="Calibri"/>
        <family val="2"/>
        <scheme val="minor"/>
      </rPr>
      <t>(Amounts exclude tax)</t>
    </r>
  </si>
  <si>
    <t xml:space="preserve">Negotiated Fee: </t>
  </si>
  <si>
    <t>Original Architect Fees on Construction</t>
  </si>
  <si>
    <t>Data (hide)</t>
  </si>
  <si>
    <t>Split #1/Fund</t>
  </si>
  <si>
    <t>Split #2/Fund</t>
  </si>
  <si>
    <t>Split #3/Fund</t>
  </si>
  <si>
    <t>Split #4/Fund</t>
  </si>
  <si>
    <t>Split #5/Fund</t>
  </si>
  <si>
    <t>Limit</t>
  </si>
  <si>
    <t>Execption form no. 1 (actual + future)</t>
  </si>
  <si>
    <t>Change Order Limit (Exception Form requirements)</t>
  </si>
  <si>
    <t>Execption form no. 2 (actual + future)</t>
  </si>
  <si>
    <t>* if negative, exception form required</t>
  </si>
  <si>
    <t>HB calculation release date (date of 320, 321 or 325):</t>
  </si>
  <si>
    <t>Template version 3 (January 23, 2012)</t>
  </si>
  <si>
    <t>n/a</t>
  </si>
  <si>
    <t>Based on change in project cost and/or construction cost</t>
  </si>
  <si>
    <t>as of</t>
  </si>
  <si>
    <t>Project change from Original</t>
  </si>
  <si>
    <t>Contract change from Original</t>
  </si>
  <si>
    <t>As per Project Manager's Invoice or as per</t>
  </si>
  <si>
    <t>As per Architect's Invoice or as per</t>
  </si>
  <si>
    <t>CO 00# Draft</t>
  </si>
  <si>
    <t>CO 00#</t>
  </si>
  <si>
    <t xml:space="preserve"> Addendum 00#</t>
  </si>
  <si>
    <t>Change orders (can have multiple 001, 002, etc..)</t>
  </si>
  <si>
    <t xml:space="preserve"> Payment 00#</t>
  </si>
  <si>
    <t xml:space="preserve">* All file names must contain the following: project # ,WO #, document # and document name. </t>
  </si>
  <si>
    <t>Example: 101-001-001 4001WO1111 212 CO 002.PDF</t>
  </si>
  <si>
    <t>Date:</t>
  </si>
  <si>
    <t xml:space="preserve"> </t>
  </si>
  <si>
    <t>Occupancy Permit</t>
  </si>
  <si>
    <t>or</t>
  </si>
  <si>
    <t>[project number]</t>
  </si>
  <si>
    <t>%</t>
  </si>
  <si>
    <t>Description (Months, Invoice no.)</t>
  </si>
  <si>
    <t xml:space="preserve">        Actual Holdback to date </t>
  </si>
  <si>
    <t>and</t>
  </si>
  <si>
    <t xml:space="preserve">        Unissued Contract/Extra Complete </t>
  </si>
  <si>
    <t>Total Account Payable Journal Entry</t>
  </si>
  <si>
    <t>PM / PL Name</t>
  </si>
  <si>
    <t>PM / PL Signature</t>
  </si>
  <si>
    <t xml:space="preserve">White Cells: You must enter information </t>
  </si>
  <si>
    <t>Green Cells: You may override formula</t>
  </si>
  <si>
    <t xml:space="preserve">Contract DT Amount </t>
  </si>
  <si>
    <t>DT Amount</t>
  </si>
  <si>
    <t>Grey Cells: Do not override.</t>
  </si>
  <si>
    <t>Less Pd to Date</t>
  </si>
  <si>
    <t>[enter fixed DT complete]</t>
  </si>
  <si>
    <t>[enter unissued DT]</t>
  </si>
  <si>
    <t>Over $100,000.00 save payment sheet and signed PDF</t>
  </si>
  <si>
    <t>Hide formulas</t>
  </si>
  <si>
    <t>Company Name</t>
  </si>
  <si>
    <t>Consultant - public (over $100K)</t>
  </si>
  <si>
    <t>Consultant - invited (under $100K)</t>
  </si>
  <si>
    <t>Contractor - public (over $100K)</t>
  </si>
  <si>
    <t>Contractor (under $100K)</t>
  </si>
  <si>
    <t>Renovation (not general contractor)</t>
  </si>
  <si>
    <t>Renovation (general contractor)</t>
  </si>
  <si>
    <t>Refurbishing</t>
  </si>
  <si>
    <t>Invited quote</t>
  </si>
  <si>
    <t>Invited tender</t>
  </si>
  <si>
    <t>Public tender</t>
  </si>
  <si>
    <t>Total DT Accrued</t>
  </si>
  <si>
    <t>Total Holdback DT Accrued</t>
  </si>
  <si>
    <r>
      <t>Year End Account Payable</t>
    </r>
    <r>
      <rPr>
        <b/>
        <sz val="12"/>
        <color theme="0"/>
        <rFont val="Calibri"/>
        <family val="2"/>
      </rPr>
      <t xml:space="preserve"> (Work complete or to be completed by April 30th not yet Invoiced and/or Paid by April 30th)</t>
    </r>
  </si>
  <si>
    <t>Company</t>
  </si>
  <si>
    <t>Fund-Account:</t>
  </si>
  <si>
    <t xml:space="preserve"> Bid Bond</t>
  </si>
  <si>
    <t xml:space="preserve"> Labour and Performance Bond</t>
  </si>
  <si>
    <t>RFI Documentation Stage #1 and proposals</t>
  </si>
  <si>
    <t>RFP Documentation Stage #2 and proposals</t>
  </si>
  <si>
    <t>Excel</t>
  </si>
  <si>
    <t xml:space="preserve">(% on amount + </t>
  </si>
  <si>
    <t>Tax)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</si>
</sst>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164" formatCode="&quot;$&quot;#,##0_);\(&quot;$&quot;#,##0\)"/>
    <numFmt numFmtId="165" formatCode="&quot;$&quot;#,##0.00_);\(&quot;$&quot;#,##0.00\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#&quot;\ #"/>
    <numFmt numFmtId="169" formatCode="0.000%"/>
    <numFmt numFmtId="170" formatCode="0000#"/>
    <numFmt numFmtId="171" formatCode="0.0000000"/>
    <numFmt numFmtId="172" formatCode="[$-1009]mmmm\ d\,\ yyyy;@"/>
    <numFmt numFmtId="173" formatCode="0#"/>
    <numFmt numFmtId="174" formatCode="&quot;Error: &quot;\ ###;&quot;Error: &quot;\-###;&quot;&quot;;@"/>
    <numFmt numFmtId="175" formatCode="[$-1009]ddd\,\ mmmm\ d\,\ yyyy;@"/>
    <numFmt numFmtId="176" formatCode="ddd\,d\-mmm\-yy"/>
    <numFmt numFmtId="177" formatCode="0.0%"/>
    <numFmt numFmtId="178" formatCode="[$-1009]d\-mmm\-yy;@"/>
    <numFmt numFmtId="179" formatCode="[$-409]d\-mmm\-yy;@"/>
  </numFmts>
  <fonts count="72" x14ac:knownFonts="1"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0"/>
      <color theme="1"/>
      <name val="Calibri"/>
      <family val="2"/>
    </font>
    <font>
      <sz val="10"/>
      <color theme="0"/>
      <name val="Calibri"/>
      <family val="2"/>
    </font>
    <font>
      <b/>
      <sz val="11"/>
      <color theme="1"/>
      <name val="Calibri"/>
      <family val="2"/>
    </font>
    <font>
      <b/>
      <u/>
      <sz val="10"/>
      <color theme="0"/>
      <name val="Calibri"/>
      <family val="2"/>
    </font>
    <font>
      <sz val="10"/>
      <color rgb="FF3A477E"/>
      <name val="Calibri"/>
      <family val="2"/>
    </font>
    <font>
      <b/>
      <sz val="10"/>
      <color rgb="FF3A477E"/>
      <name val="Calibri"/>
      <family val="2"/>
    </font>
    <font>
      <b/>
      <sz val="9"/>
      <color rgb="FF3A477E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name val="Times New Roman"/>
      <family val="1"/>
    </font>
    <font>
      <sz val="6"/>
      <name val="Times New Roman"/>
      <family val="1"/>
    </font>
    <font>
      <sz val="10"/>
      <name val="Times New Roman"/>
      <family val="1"/>
    </font>
    <font>
      <sz val="10"/>
      <color rgb="FFFFFF00"/>
      <name val="Calibri"/>
      <family val="2"/>
    </font>
    <font>
      <b/>
      <sz val="11"/>
      <name val="Calibri"/>
      <family val="2"/>
    </font>
    <font>
      <b/>
      <u/>
      <sz val="10"/>
      <color rgb="FF3A477E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name val="Calibri"/>
      <family val="2"/>
    </font>
    <font>
      <b/>
      <u/>
      <sz val="10"/>
      <name val="Calibri"/>
      <family val="2"/>
    </font>
    <font>
      <sz val="10"/>
      <color theme="0" tint="-0.499984740745262"/>
      <name val="Calibri"/>
      <family val="2"/>
    </font>
    <font>
      <b/>
      <sz val="10"/>
      <color theme="0" tint="-0.499984740745262"/>
      <name val="Calibri"/>
      <family val="2"/>
    </font>
    <font>
      <sz val="10"/>
      <color theme="3" tint="-0.499984740745262"/>
      <name val="Calibri"/>
      <family val="2"/>
    </font>
    <font>
      <b/>
      <sz val="10"/>
      <color theme="3" tint="-0.499984740745262"/>
      <name val="Calibri"/>
      <family val="2"/>
    </font>
    <font>
      <sz val="11"/>
      <color theme="0"/>
      <name val="Calibri"/>
      <family val="2"/>
      <scheme val="minor"/>
    </font>
    <font>
      <b/>
      <u/>
      <sz val="14"/>
      <color theme="0"/>
      <name val="Calibri"/>
      <family val="2"/>
    </font>
    <font>
      <u/>
      <sz val="14"/>
      <color theme="0"/>
      <name val="Calibri"/>
      <family val="2"/>
    </font>
    <font>
      <b/>
      <sz val="10"/>
      <color theme="5" tint="-0.249977111117893"/>
      <name val="Calibri"/>
      <family val="2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3A477E"/>
      <name val="Calibri"/>
      <family val="2"/>
      <scheme val="minor"/>
    </font>
    <font>
      <b/>
      <u/>
      <sz val="11"/>
      <color rgb="FF3A477E"/>
      <name val="Calibri"/>
      <family val="2"/>
      <scheme val="minor"/>
    </font>
    <font>
      <b/>
      <sz val="11"/>
      <color rgb="FF3A477E"/>
      <name val="Calibri"/>
      <family val="2"/>
      <scheme val="minor"/>
    </font>
    <font>
      <sz val="9"/>
      <color rgb="FF3A477E"/>
      <name val="Calibri"/>
      <family val="2"/>
    </font>
    <font>
      <sz val="8"/>
      <color rgb="FF000000"/>
      <name val="Tahoma"/>
      <family val="2"/>
    </font>
    <font>
      <b/>
      <sz val="14"/>
      <color theme="0"/>
      <name val="Calibri"/>
      <family val="2"/>
      <scheme val="minor"/>
    </font>
    <font>
      <sz val="10"/>
      <name val="Calibri"/>
      <family val="2"/>
    </font>
    <font>
      <sz val="10"/>
      <color theme="0" tint="-0.34998626667073579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  <font>
      <b/>
      <u/>
      <sz val="12"/>
      <color theme="0"/>
      <name val="Calibri"/>
      <family val="2"/>
    </font>
    <font>
      <sz val="8"/>
      <color rgb="FF3A477E"/>
      <name val="Calibri"/>
      <family val="2"/>
      <scheme val="minor"/>
    </font>
    <font>
      <b/>
      <sz val="11"/>
      <color theme="3" tint="-0.499984740745262"/>
      <name val="Calibri"/>
      <family val="2"/>
    </font>
    <font>
      <vertAlign val="superscript"/>
      <sz val="11"/>
      <color rgb="FFFF0000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color rgb="FF5062AE"/>
      <name val="Calibri"/>
      <family val="2"/>
      <scheme val="minor"/>
    </font>
    <font>
      <sz val="10"/>
      <color rgb="FFFF0000"/>
      <name val="Calibri"/>
      <family val="2"/>
    </font>
    <font>
      <b/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Times New Roman"/>
      <family val="1"/>
    </font>
    <font>
      <sz val="10"/>
      <color theme="0"/>
      <name val="Calibri"/>
      <family val="2"/>
      <scheme val="minor"/>
    </font>
    <font>
      <sz val="10"/>
      <color theme="3" tint="-0.499984740745262"/>
      <name val="Calibri"/>
      <family val="2"/>
      <scheme val="minor"/>
    </font>
    <font>
      <b/>
      <sz val="10"/>
      <color theme="3" tint="-0.499984740745262"/>
      <name val="Calibri"/>
      <family val="2"/>
      <scheme val="minor"/>
    </font>
    <font>
      <sz val="10"/>
      <color theme="3" tint="-0.499984740745262"/>
      <name val="Times New Roman"/>
      <family val="1"/>
    </font>
    <font>
      <b/>
      <sz val="11"/>
      <color theme="3" tint="-0.499984740745262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12"/>
      <color theme="0"/>
      <name val="Calibri"/>
      <family val="2"/>
    </font>
    <font>
      <sz val="9"/>
      <color theme="1"/>
      <name val="Calibri"/>
      <family val="2"/>
    </font>
    <font>
      <sz val="9"/>
      <color theme="0" tint="-0.499984740745262"/>
      <name val="Calibri"/>
      <family val="2"/>
      <scheme val="minor"/>
    </font>
    <font>
      <sz val="10"/>
      <color indexed="81"/>
      <name val="Tahoma"/>
      <family val="2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3A477E"/>
        <bgColor indexed="64"/>
      </patternFill>
    </fill>
    <fill>
      <patternFill patternType="solid">
        <fgColor rgb="FF5062AE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EC2D4"/>
        <bgColor indexed="64"/>
      </patternFill>
    </fill>
    <fill>
      <patternFill patternType="solid">
        <fgColor theme="0" tint="-4.9989318521683403E-2"/>
        <bgColor indexed="9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EC2D4"/>
        <bgColor indexed="9"/>
      </patternFill>
    </fill>
    <fill>
      <patternFill patternType="solid">
        <fgColor rgb="FFB3B8CD"/>
        <bgColor indexed="64"/>
      </patternFill>
    </fill>
    <fill>
      <patternFill patternType="solid">
        <fgColor rgb="FF5062AE"/>
        <bgColor indexed="9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-0.249977111117893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6" tint="0.79998168889431442"/>
        <bgColor indexed="9"/>
      </patternFill>
    </fill>
    <fill>
      <patternFill patternType="solid">
        <fgColor rgb="FF3A477E"/>
        <bgColor indexed="9"/>
      </patternFill>
    </fill>
    <fill>
      <patternFill patternType="solid">
        <fgColor theme="0" tint="-0.249977111117893"/>
        <bgColor indexed="9"/>
      </patternFill>
    </fill>
  </fills>
  <borders count="8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double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/>
      <bottom style="double">
        <color theme="0" tint="-0.249977111117893"/>
      </bottom>
      <diagonal/>
    </border>
    <border>
      <left/>
      <right/>
      <top/>
      <bottom style="double">
        <color theme="0" tint="-0.249977111117893"/>
      </bottom>
      <diagonal/>
    </border>
    <border>
      <left/>
      <right style="thin">
        <color theme="0" tint="-0.249977111117893"/>
      </right>
      <top/>
      <bottom style="double">
        <color theme="0" tint="-0.249977111117893"/>
      </bottom>
      <diagonal/>
    </border>
    <border>
      <left style="thin">
        <color theme="0" tint="-0.249977111117893"/>
      </left>
      <right/>
      <top/>
      <bottom style="double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theme="0" tint="-0.249977111117893"/>
      </top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thin">
        <color theme="0" tint="-0.249977111117893"/>
      </left>
      <right/>
      <top style="double">
        <color theme="0" tint="-0.249977111117893"/>
      </top>
      <bottom style="thin">
        <color theme="0" tint="-0.249977111117893"/>
      </bottom>
      <diagonal/>
    </border>
    <border>
      <left/>
      <right/>
      <top style="double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double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double">
        <color theme="0" tint="-0.249977111117893"/>
      </top>
      <bottom/>
      <diagonal/>
    </border>
    <border>
      <left/>
      <right style="thin">
        <color theme="0" tint="-0.34998626667073579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249977111117893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indexed="64"/>
      </left>
      <right/>
      <top/>
      <bottom style="thin">
        <color theme="0" tint="-0.249977111117893"/>
      </bottom>
      <diagonal/>
    </border>
    <border>
      <left style="medium">
        <color theme="1" tint="0.249977111117893"/>
      </left>
      <right/>
      <top style="medium">
        <color theme="1" tint="0.249977111117893"/>
      </top>
      <bottom/>
      <diagonal/>
    </border>
    <border>
      <left/>
      <right/>
      <top style="medium">
        <color theme="1" tint="0.249977111117893"/>
      </top>
      <bottom/>
      <diagonal/>
    </border>
    <border>
      <left/>
      <right/>
      <top style="medium">
        <color theme="1" tint="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medium">
        <color theme="1" tint="0.249977111117893"/>
      </top>
      <bottom style="thin">
        <color theme="0" tint="-0.249977111117893"/>
      </bottom>
      <diagonal/>
    </border>
    <border>
      <left/>
      <right style="medium">
        <color theme="1" tint="0.249977111117893"/>
      </right>
      <top style="medium">
        <color theme="1" tint="0.249977111117893"/>
      </top>
      <bottom/>
      <diagonal/>
    </border>
    <border>
      <left style="medium">
        <color theme="1" tint="0.249977111117893"/>
      </left>
      <right/>
      <top/>
      <bottom style="thin">
        <color theme="0" tint="-0.249977111117893"/>
      </bottom>
      <diagonal/>
    </border>
    <border>
      <left/>
      <right style="medium">
        <color theme="1" tint="0.249977111117893"/>
      </right>
      <top/>
      <bottom/>
      <diagonal/>
    </border>
    <border>
      <left style="medium">
        <color theme="1" tint="0.249977111117893"/>
      </left>
      <right/>
      <top/>
      <bottom/>
      <diagonal/>
    </border>
    <border>
      <left style="medium">
        <color theme="1" tint="0.249977111117893"/>
      </left>
      <right/>
      <top/>
      <bottom style="thin">
        <color theme="0" tint="-0.499984740745262"/>
      </bottom>
      <diagonal/>
    </border>
    <border>
      <left/>
      <right style="medium">
        <color theme="1" tint="0.249977111117893"/>
      </right>
      <top/>
      <bottom style="thin">
        <color theme="0" tint="-0.499984740745262"/>
      </bottom>
      <diagonal/>
    </border>
    <border>
      <left style="medium">
        <color theme="1" tint="0.249977111117893"/>
      </left>
      <right/>
      <top style="thin">
        <color theme="0" tint="-0.499984740745262"/>
      </top>
      <bottom/>
      <diagonal/>
    </border>
    <border>
      <left/>
      <right style="medium">
        <color theme="1" tint="0.249977111117893"/>
      </right>
      <top style="thin">
        <color theme="0" tint="-0.499984740745262"/>
      </top>
      <bottom/>
      <diagonal/>
    </border>
    <border>
      <left style="medium">
        <color theme="1" tint="0.249977111117893"/>
      </left>
      <right/>
      <top style="thin">
        <color indexed="64"/>
      </top>
      <bottom style="thin">
        <color indexed="64"/>
      </bottom>
      <diagonal/>
    </border>
    <border>
      <left/>
      <right style="medium">
        <color theme="1" tint="0.249977111117893"/>
      </right>
      <top style="thin">
        <color theme="0" tint="-0.249977111117893"/>
      </top>
      <bottom/>
      <diagonal/>
    </border>
    <border>
      <left/>
      <right style="medium">
        <color theme="1" tint="0.249977111117893"/>
      </right>
      <top/>
      <bottom style="thin">
        <color theme="0" tint="-0.249977111117893"/>
      </bottom>
      <diagonal/>
    </border>
    <border>
      <left style="medium">
        <color theme="1" tint="0.249977111117893"/>
      </left>
      <right/>
      <top/>
      <bottom style="medium">
        <color theme="1" tint="0.249977111117893"/>
      </bottom>
      <diagonal/>
    </border>
    <border>
      <left/>
      <right/>
      <top/>
      <bottom style="medium">
        <color theme="1" tint="0.249977111117893"/>
      </bottom>
      <diagonal/>
    </border>
    <border>
      <left/>
      <right style="medium">
        <color theme="1" tint="0.249977111117893"/>
      </right>
      <top/>
      <bottom style="medium">
        <color theme="1" tint="0.249977111117893"/>
      </bottom>
      <diagonal/>
    </border>
    <border>
      <left/>
      <right style="thin">
        <color theme="0" tint="-0.249977111117893"/>
      </right>
      <top style="medium">
        <color theme="1" tint="0.249977111117893"/>
      </top>
      <bottom/>
      <diagonal/>
    </border>
    <border>
      <left style="thin">
        <color theme="0" tint="-0.249977111117893"/>
      </left>
      <right/>
      <top style="medium">
        <color theme="1" tint="0.249977111117893"/>
      </top>
      <bottom/>
      <diagonal/>
    </border>
    <border>
      <left/>
      <right style="medium">
        <color theme="1" tint="0.249977111117893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/>
      <top style="thin">
        <color theme="0" tint="-0.24994659260841701"/>
      </top>
      <bottom style="double">
        <color indexed="64"/>
      </bottom>
      <diagonal/>
    </border>
    <border>
      <left/>
      <right/>
      <top style="thin">
        <color theme="0" tint="-0.24994659260841701"/>
      </top>
      <bottom style="double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ck">
        <color theme="0" tint="-0.499984740745262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ck">
        <color theme="0" tint="-0.499984740745262"/>
      </right>
      <top style="thin">
        <color theme="0"/>
      </top>
      <bottom/>
      <diagonal/>
    </border>
    <border>
      <left style="thick">
        <color theme="0" tint="-0.499984740745262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ck">
        <color theme="0" tint="-0.499984740745262"/>
      </right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theme="0" tint="-0.499984740745262"/>
      </left>
      <right style="thin">
        <color theme="0" tint="-0.24994659260841701"/>
      </right>
      <top style="thin">
        <color theme="0" tint="-0.24994659260841701"/>
      </top>
      <bottom style="double">
        <color indexed="64"/>
      </bottom>
      <diagonal/>
    </border>
    <border>
      <left/>
      <right style="thick">
        <color theme="0" tint="-0.499984740745262"/>
      </right>
      <top style="thin">
        <color theme="0" tint="-0.24994659260841701"/>
      </top>
      <bottom style="double">
        <color indexed="64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69">
    <xf numFmtId="0" fontId="0" fillId="0" borderId="0"/>
    <xf numFmtId="9" fontId="8" fillId="0" borderId="0" applyFont="0" applyFill="0" applyBorder="0" applyAlignment="0" applyProtection="0"/>
    <xf numFmtId="0" fontId="13" fillId="3" borderId="7">
      <alignment horizontal="left" vertical="top"/>
    </xf>
    <xf numFmtId="0" fontId="9" fillId="3" borderId="8">
      <alignment horizontal="center" vertical="top"/>
    </xf>
    <xf numFmtId="0" fontId="9" fillId="3" borderId="9" applyBorder="0">
      <alignment horizontal="center" vertical="top"/>
    </xf>
    <xf numFmtId="49" fontId="8" fillId="5" borderId="10">
      <alignment horizontal="left" indent="3"/>
    </xf>
    <xf numFmtId="49" fontId="10" fillId="5" borderId="10">
      <alignment horizontal="left" indent="1"/>
    </xf>
    <xf numFmtId="167" fontId="8" fillId="7" borderId="1"/>
    <xf numFmtId="167" fontId="14" fillId="5" borderId="0"/>
    <xf numFmtId="0" fontId="8" fillId="5" borderId="5"/>
    <xf numFmtId="167" fontId="15" fillId="5" borderId="0"/>
    <xf numFmtId="0" fontId="8" fillId="5" borderId="11">
      <alignment horizontal="left" indent="3"/>
    </xf>
    <xf numFmtId="167" fontId="8" fillId="5" borderId="2"/>
    <xf numFmtId="167" fontId="8" fillId="5" borderId="12"/>
    <xf numFmtId="0" fontId="13" fillId="4" borderId="7" applyBorder="0">
      <alignment horizontal="left" vertical="top"/>
    </xf>
    <xf numFmtId="0" fontId="9" fillId="4" borderId="8">
      <alignment horizontal="center" vertical="top"/>
    </xf>
    <xf numFmtId="0" fontId="9" fillId="4" borderId="9">
      <alignment horizontal="center" vertical="top"/>
    </xf>
    <xf numFmtId="0" fontId="18" fillId="4" borderId="1">
      <alignment vertical="center"/>
    </xf>
    <xf numFmtId="0" fontId="19" fillId="0" borderId="0">
      <alignment vertical="top"/>
    </xf>
    <xf numFmtId="3" fontId="19" fillId="2" borderId="0" applyFont="0" applyFill="0" applyBorder="0" applyAlignment="0" applyProtection="0"/>
    <xf numFmtId="164" fontId="19" fillId="2" borderId="0" applyFont="0" applyFill="0" applyBorder="0" applyAlignment="0" applyProtection="0"/>
    <xf numFmtId="0" fontId="19" fillId="2" borderId="0" applyFont="0" applyFill="0" applyBorder="0" applyAlignment="0" applyProtection="0"/>
    <xf numFmtId="2" fontId="19" fillId="2" borderId="0" applyFont="0" applyFill="0" applyBorder="0" applyAlignment="0" applyProtection="0"/>
    <xf numFmtId="0" fontId="20" fillId="2" borderId="0" applyFont="0" applyFill="0" applyBorder="0" applyAlignment="0" applyProtection="0"/>
    <xf numFmtId="0" fontId="20" fillId="2" borderId="0" applyFont="0" applyFill="0" applyBorder="0" applyAlignment="0" applyProtection="0"/>
    <xf numFmtId="0" fontId="20" fillId="2" borderId="0" applyFont="0" applyFill="0" applyBorder="0" applyAlignment="0" applyProtection="0"/>
    <xf numFmtId="0" fontId="20" fillId="2" borderId="0" applyFont="0" applyFill="0" applyBorder="0" applyAlignment="0" applyProtection="0"/>
    <xf numFmtId="0" fontId="20" fillId="2" borderId="0" applyFont="0" applyFill="0" applyBorder="0" applyAlignment="0" applyProtection="0"/>
    <xf numFmtId="0" fontId="20" fillId="2" borderId="0" applyFont="0" applyFill="0" applyBorder="0" applyAlignment="0" applyProtection="0"/>
    <xf numFmtId="0" fontId="20" fillId="2" borderId="0" applyFont="0" applyFill="0" applyBorder="0" applyAlignment="0" applyProtection="0"/>
    <xf numFmtId="0" fontId="21" fillId="2" borderId="0" applyFont="0" applyFill="0" applyBorder="0" applyAlignment="0" applyProtection="0"/>
    <xf numFmtId="0" fontId="21" fillId="2" borderId="0" applyFont="0" applyFill="0" applyBorder="0" applyAlignment="0" applyProtection="0"/>
    <xf numFmtId="0" fontId="21" fillId="2" borderId="0" applyFont="0" applyFill="0" applyBorder="0" applyAlignment="0" applyProtection="0"/>
    <xf numFmtId="0" fontId="21" fillId="2" borderId="0" applyFont="0" applyFill="0" applyBorder="0" applyAlignment="0" applyProtection="0"/>
    <xf numFmtId="0" fontId="21" fillId="2" borderId="0" applyFont="0" applyFill="0" applyBorder="0" applyAlignment="0" applyProtection="0"/>
    <xf numFmtId="0" fontId="21" fillId="2" borderId="0" applyFont="0" applyFill="0" applyBorder="0" applyAlignment="0" applyProtection="0"/>
    <xf numFmtId="0" fontId="21" fillId="2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0" fontId="19" fillId="2" borderId="0" applyFont="0" applyFill="0" applyBorder="0" applyAlignment="0" applyProtection="0"/>
    <xf numFmtId="165" fontId="19" fillId="2" borderId="0" applyFont="0" applyFill="0" applyBorder="0" applyAlignment="0" applyProtection="0"/>
  </cellStyleXfs>
  <cellXfs count="826">
    <xf numFmtId="0" fontId="0" fillId="0" borderId="0" xfId="0"/>
    <xf numFmtId="0" fontId="12" fillId="0" borderId="0" xfId="0" applyFont="1"/>
    <xf numFmtId="0" fontId="0" fillId="5" borderId="10" xfId="0" applyFill="1" applyBorder="1"/>
    <xf numFmtId="0" fontId="0" fillId="5" borderId="0" xfId="0" applyFill="1" applyBorder="1"/>
    <xf numFmtId="0" fontId="0" fillId="5" borderId="2" xfId="0" applyFill="1" applyBorder="1"/>
    <xf numFmtId="0" fontId="10" fillId="5" borderId="10" xfId="0" applyFont="1" applyFill="1" applyBorder="1" applyAlignment="1">
      <alignment horizontal="left" indent="1"/>
    </xf>
    <xf numFmtId="0" fontId="0" fillId="5" borderId="11" xfId="0" applyFill="1" applyBorder="1"/>
    <xf numFmtId="0" fontId="0" fillId="5" borderId="10" xfId="0" applyFill="1" applyBorder="1" applyAlignment="1">
      <alignment horizontal="left" indent="2"/>
    </xf>
    <xf numFmtId="0" fontId="0" fillId="5" borderId="0" xfId="0" applyFill="1" applyBorder="1" applyAlignment="1">
      <alignment horizontal="left" indent="2"/>
    </xf>
    <xf numFmtId="0" fontId="0" fillId="5" borderId="2" xfId="0" applyFill="1" applyBorder="1" applyAlignment="1">
      <alignment horizontal="left" indent="2"/>
    </xf>
    <xf numFmtId="0" fontId="0" fillId="5" borderId="7" xfId="0" applyFill="1" applyBorder="1"/>
    <xf numFmtId="0" fontId="0" fillId="5" borderId="8" xfId="0" applyFill="1" applyBorder="1"/>
    <xf numFmtId="0" fontId="0" fillId="5" borderId="11" xfId="0" applyFill="1" applyBorder="1" applyAlignment="1">
      <alignment horizontal="left" indent="3"/>
    </xf>
    <xf numFmtId="168" fontId="14" fillId="5" borderId="10" xfId="0" applyNumberFormat="1" applyFont="1" applyFill="1" applyBorder="1" applyAlignment="1">
      <alignment horizontal="right" indent="2"/>
    </xf>
    <xf numFmtId="167" fontId="15" fillId="5" borderId="0" xfId="0" applyNumberFormat="1" applyFont="1" applyFill="1" applyBorder="1"/>
    <xf numFmtId="167" fontId="14" fillId="5" borderId="5" xfId="0" applyNumberFormat="1" applyFont="1" applyFill="1" applyBorder="1"/>
    <xf numFmtId="167" fontId="0" fillId="7" borderId="1" xfId="0" applyNumberFormat="1" applyFill="1" applyBorder="1"/>
    <xf numFmtId="0" fontId="18" fillId="4" borderId="1" xfId="0" applyFont="1" applyFill="1" applyBorder="1" applyAlignment="1">
      <alignment vertical="center"/>
    </xf>
    <xf numFmtId="0" fontId="0" fillId="0" borderId="0" xfId="0" applyAlignment="1"/>
    <xf numFmtId="0" fontId="0" fillId="0" borderId="0" xfId="0" applyAlignment="1">
      <alignment vertical="top"/>
    </xf>
    <xf numFmtId="0" fontId="0" fillId="5" borderId="0" xfId="0" applyFill="1"/>
    <xf numFmtId="167" fontId="14" fillId="5" borderId="1" xfId="0" applyNumberFormat="1" applyFont="1" applyFill="1" applyBorder="1"/>
    <xf numFmtId="167" fontId="0" fillId="0" borderId="2" xfId="0" applyNumberFormat="1" applyBorder="1"/>
    <xf numFmtId="0" fontId="14" fillId="9" borderId="1" xfId="0" applyFont="1" applyFill="1" applyBorder="1" applyAlignment="1">
      <alignment horizontal="center"/>
    </xf>
    <xf numFmtId="0" fontId="15" fillId="9" borderId="16" xfId="0" applyFont="1" applyFill="1" applyBorder="1" applyAlignment="1">
      <alignment horizontal="center"/>
    </xf>
    <xf numFmtId="0" fontId="15" fillId="9" borderId="7" xfId="0" applyFont="1" applyFill="1" applyBorder="1" applyAlignment="1">
      <alignment horizontal="center"/>
    </xf>
    <xf numFmtId="0" fontId="15" fillId="9" borderId="9" xfId="0" applyFont="1" applyFill="1" applyBorder="1" applyAlignment="1">
      <alignment horizontal="center"/>
    </xf>
    <xf numFmtId="167" fontId="14" fillId="5" borderId="18" xfId="0" applyNumberFormat="1" applyFont="1" applyFill="1" applyBorder="1"/>
    <xf numFmtId="167" fontId="0" fillId="7" borderId="4" xfId="0" applyNumberFormat="1" applyFill="1" applyBorder="1"/>
    <xf numFmtId="0" fontId="0" fillId="5" borderId="0" xfId="0" applyFill="1" applyAlignment="1"/>
    <xf numFmtId="0" fontId="15" fillId="10" borderId="7" xfId="0" applyFont="1" applyFill="1" applyBorder="1" applyAlignment="1">
      <alignment horizontal="center"/>
    </xf>
    <xf numFmtId="0" fontId="0" fillId="6" borderId="0" xfId="0" applyFill="1"/>
    <xf numFmtId="167" fontId="14" fillId="6" borderId="1" xfId="0" applyNumberFormat="1" applyFont="1" applyFill="1" applyBorder="1"/>
    <xf numFmtId="0" fontId="0" fillId="0" borderId="0" xfId="0" applyFill="1"/>
    <xf numFmtId="0" fontId="15" fillId="12" borderId="16" xfId="0" applyFont="1" applyFill="1" applyBorder="1" applyAlignment="1">
      <alignment horizontal="center"/>
    </xf>
    <xf numFmtId="167" fontId="14" fillId="8" borderId="1" xfId="0" applyNumberFormat="1" applyFont="1" applyFill="1" applyBorder="1"/>
    <xf numFmtId="0" fontId="22" fillId="0" borderId="0" xfId="0" applyFont="1" applyFill="1"/>
    <xf numFmtId="171" fontId="22" fillId="0" borderId="0" xfId="0" applyNumberFormat="1" applyFont="1" applyFill="1"/>
    <xf numFmtId="167" fontId="0" fillId="0" borderId="0" xfId="0" applyNumberFormat="1"/>
    <xf numFmtId="10" fontId="0" fillId="0" borderId="0" xfId="0" applyNumberFormat="1"/>
    <xf numFmtId="169" fontId="16" fillId="8" borderId="0" xfId="0" applyNumberFormat="1" applyFont="1" applyFill="1" applyBorder="1" applyAlignment="1">
      <alignment horizontal="center" vertical="top"/>
    </xf>
    <xf numFmtId="169" fontId="16" fillId="8" borderId="1" xfId="0" applyNumberFormat="1" applyFont="1" applyFill="1" applyBorder="1" applyAlignment="1">
      <alignment horizontal="center" vertical="top"/>
    </xf>
    <xf numFmtId="171" fontId="11" fillId="3" borderId="1" xfId="0" applyNumberFormat="1" applyFont="1" applyFill="1" applyBorder="1"/>
    <xf numFmtId="0" fontId="13" fillId="4" borderId="8" xfId="0" applyFont="1" applyFill="1" applyBorder="1" applyAlignment="1">
      <alignment vertical="top"/>
    </xf>
    <xf numFmtId="0" fontId="0" fillId="5" borderId="2" xfId="0" applyFill="1" applyBorder="1" applyAlignment="1">
      <alignment horizontal="left" indent="3"/>
    </xf>
    <xf numFmtId="0" fontId="10" fillId="5" borderId="0" xfId="0" applyFont="1" applyFill="1" applyBorder="1" applyAlignment="1">
      <alignment horizontal="left" indent="1"/>
    </xf>
    <xf numFmtId="0" fontId="24" fillId="5" borderId="0" xfId="0" applyFont="1" applyFill="1" applyBorder="1" applyAlignment="1">
      <alignment horizontal="center"/>
    </xf>
    <xf numFmtId="171" fontId="11" fillId="3" borderId="13" xfId="0" applyNumberFormat="1" applyFont="1" applyFill="1" applyBorder="1"/>
    <xf numFmtId="9" fontId="14" fillId="9" borderId="13" xfId="0" applyNumberFormat="1" applyFont="1" applyFill="1" applyBorder="1" applyAlignment="1">
      <alignment wrapText="1"/>
    </xf>
    <xf numFmtId="9" fontId="15" fillId="10" borderId="1" xfId="0" applyNumberFormat="1" applyFont="1" applyFill="1" applyBorder="1" applyAlignment="1">
      <alignment horizontal="center" wrapText="1"/>
    </xf>
    <xf numFmtId="0" fontId="0" fillId="0" borderId="0" xfId="0"/>
    <xf numFmtId="0" fontId="0" fillId="5" borderId="0" xfId="0" applyFill="1" applyBorder="1"/>
    <xf numFmtId="167" fontId="0" fillId="7" borderId="1" xfId="0" applyNumberFormat="1" applyFill="1" applyBorder="1"/>
    <xf numFmtId="0" fontId="18" fillId="4" borderId="1" xfId="0" applyFont="1" applyFill="1" applyBorder="1" applyAlignment="1">
      <alignment vertical="center"/>
    </xf>
    <xf numFmtId="0" fontId="0" fillId="5" borderId="0" xfId="0" applyFill="1"/>
    <xf numFmtId="167" fontId="14" fillId="5" borderId="1" xfId="0" applyNumberFormat="1" applyFont="1" applyFill="1" applyBorder="1"/>
    <xf numFmtId="167" fontId="14" fillId="8" borderId="1" xfId="0" applyNumberFormat="1" applyFont="1" applyFill="1" applyBorder="1"/>
    <xf numFmtId="0" fontId="13" fillId="4" borderId="8" xfId="0" applyFont="1" applyFill="1" applyBorder="1" applyAlignment="1">
      <alignment vertical="top"/>
    </xf>
    <xf numFmtId="0" fontId="12" fillId="0" borderId="0" xfId="0" applyFont="1" applyFill="1"/>
    <xf numFmtId="0" fontId="17" fillId="0" borderId="0" xfId="0" applyFont="1" applyFill="1"/>
    <xf numFmtId="0" fontId="0" fillId="5" borderId="17" xfId="0" applyFill="1" applyBorder="1"/>
    <xf numFmtId="4" fontId="0" fillId="0" borderId="0" xfId="0" applyNumberFormat="1"/>
    <xf numFmtId="0" fontId="29" fillId="0" borderId="0" xfId="0" applyFont="1" applyAlignment="1">
      <alignment horizontal="left"/>
    </xf>
    <xf numFmtId="167" fontId="29" fillId="0" borderId="0" xfId="0" applyNumberFormat="1" applyFont="1" applyAlignment="1"/>
    <xf numFmtId="0" fontId="0" fillId="0" borderId="1" xfId="0" applyNumberFormat="1" applyFill="1" applyBorder="1" applyAlignment="1"/>
    <xf numFmtId="0" fontId="0" fillId="0" borderId="1" xfId="0" applyNumberFormat="1" applyFill="1" applyBorder="1" applyAlignment="1">
      <alignment horizontal="left" indent="1"/>
    </xf>
    <xf numFmtId="0" fontId="0" fillId="7" borderId="0" xfId="0" applyFill="1"/>
    <xf numFmtId="4" fontId="14" fillId="5" borderId="0" xfId="0" applyNumberFormat="1" applyFont="1" applyFill="1" applyBorder="1"/>
    <xf numFmtId="4" fontId="15" fillId="5" borderId="0" xfId="0" applyNumberFormat="1" applyFont="1" applyFill="1" applyBorder="1"/>
    <xf numFmtId="4" fontId="15" fillId="5" borderId="3" xfId="0" applyNumberFormat="1" applyFont="1" applyFill="1" applyBorder="1"/>
    <xf numFmtId="4" fontId="0" fillId="5" borderId="0" xfId="0" applyNumberFormat="1" applyFill="1" applyBorder="1"/>
    <xf numFmtId="4" fontId="0" fillId="5" borderId="3" xfId="0" applyNumberFormat="1" applyFill="1" applyBorder="1"/>
    <xf numFmtId="4" fontId="14" fillId="5" borderId="10" xfId="0" applyNumberFormat="1" applyFont="1" applyFill="1" applyBorder="1"/>
    <xf numFmtId="4" fontId="0" fillId="5" borderId="13" xfId="0" applyNumberFormat="1" applyFill="1" applyBorder="1" applyAlignment="1">
      <alignment horizontal="left" indent="2"/>
    </xf>
    <xf numFmtId="4" fontId="0" fillId="5" borderId="2" xfId="0" applyNumberFormat="1" applyFill="1" applyBorder="1"/>
    <xf numFmtId="4" fontId="0" fillId="5" borderId="12" xfId="0" applyNumberFormat="1" applyFill="1" applyBorder="1"/>
    <xf numFmtId="4" fontId="13" fillId="4" borderId="8" xfId="0" applyNumberFormat="1" applyFont="1" applyFill="1" applyBorder="1" applyAlignment="1">
      <alignment vertical="top"/>
    </xf>
    <xf numFmtId="4" fontId="14" fillId="6" borderId="1" xfId="0" applyNumberFormat="1" applyFont="1" applyFill="1" applyBorder="1" applyAlignment="1">
      <alignment horizontal="center" vertical="center"/>
    </xf>
    <xf numFmtId="4" fontId="0" fillId="5" borderId="1" xfId="0" applyNumberFormat="1" applyFill="1" applyBorder="1"/>
    <xf numFmtId="4" fontId="0" fillId="5" borderId="13" xfId="0" applyNumberFormat="1" applyFill="1" applyBorder="1"/>
    <xf numFmtId="4" fontId="9" fillId="4" borderId="0" xfId="0" applyNumberFormat="1" applyFont="1" applyFill="1" applyAlignment="1">
      <alignment horizontal="center" vertical="top"/>
    </xf>
    <xf numFmtId="4" fontId="0" fillId="5" borderId="0" xfId="0" applyNumberFormat="1" applyFill="1" applyBorder="1" applyAlignment="1"/>
    <xf numFmtId="4" fontId="0" fillId="0" borderId="0" xfId="0" applyNumberFormat="1" applyAlignment="1">
      <alignment vertical="top"/>
    </xf>
    <xf numFmtId="4" fontId="0" fillId="0" borderId="0" xfId="0" applyNumberFormat="1" applyBorder="1"/>
    <xf numFmtId="4" fontId="0" fillId="7" borderId="0" xfId="0" applyNumberFormat="1" applyFill="1"/>
    <xf numFmtId="4" fontId="28" fillId="7" borderId="0" xfId="0" applyNumberFormat="1" applyFont="1" applyFill="1" applyAlignment="1">
      <alignment horizontal="left" vertical="top"/>
    </xf>
    <xf numFmtId="0" fontId="0" fillId="7" borderId="10" xfId="0" applyFill="1" applyBorder="1"/>
    <xf numFmtId="0" fontId="0" fillId="7" borderId="0" xfId="0" applyFill="1" applyBorder="1"/>
    <xf numFmtId="4" fontId="0" fillId="7" borderId="0" xfId="0" applyNumberFormat="1" applyFill="1" applyBorder="1"/>
    <xf numFmtId="0" fontId="0" fillId="7" borderId="10" xfId="0" applyFill="1" applyBorder="1" applyAlignment="1">
      <alignment horizontal="left" indent="3"/>
    </xf>
    <xf numFmtId="0" fontId="0" fillId="7" borderId="0" xfId="0" applyFill="1" applyBorder="1" applyAlignment="1">
      <alignment horizontal="left" indent="3"/>
    </xf>
    <xf numFmtId="167" fontId="14" fillId="7" borderId="1" xfId="0" applyNumberFormat="1" applyFont="1" applyFill="1" applyBorder="1"/>
    <xf numFmtId="4" fontId="14" fillId="7" borderId="0" xfId="0" applyNumberFormat="1" applyFont="1" applyFill="1" applyBorder="1"/>
    <xf numFmtId="0" fontId="14" fillId="7" borderId="0" xfId="0" applyFont="1" applyFill="1" applyBorder="1" applyAlignment="1">
      <alignment horizontal="right"/>
    </xf>
    <xf numFmtId="167" fontId="15" fillId="7" borderId="1" xfId="0" applyNumberFormat="1" applyFont="1" applyFill="1" applyBorder="1" applyAlignment="1"/>
    <xf numFmtId="4" fontId="15" fillId="7" borderId="0" xfId="0" applyNumberFormat="1" applyFont="1" applyFill="1" applyBorder="1" applyAlignment="1"/>
    <xf numFmtId="4" fontId="15" fillId="7" borderId="0" xfId="1" applyNumberFormat="1" applyFont="1" applyFill="1" applyBorder="1" applyAlignment="1">
      <alignment horizontal="center"/>
    </xf>
    <xf numFmtId="0" fontId="0" fillId="7" borderId="10" xfId="0" applyFill="1" applyBorder="1" applyAlignment="1">
      <alignment horizontal="left" indent="1"/>
    </xf>
    <xf numFmtId="0" fontId="0" fillId="7" borderId="0" xfId="0" applyFill="1" applyBorder="1" applyAlignment="1">
      <alignment horizontal="left" indent="1"/>
    </xf>
    <xf numFmtId="9" fontId="15" fillId="7" borderId="1" xfId="1" applyNumberFormat="1" applyFont="1" applyFill="1" applyBorder="1" applyAlignment="1">
      <alignment horizontal="center"/>
    </xf>
    <xf numFmtId="167" fontId="0" fillId="7" borderId="17" xfId="0" applyNumberFormat="1" applyFill="1" applyBorder="1"/>
    <xf numFmtId="167" fontId="14" fillId="6" borderId="17" xfId="0" applyNumberFormat="1" applyFont="1" applyFill="1" applyBorder="1"/>
    <xf numFmtId="0" fontId="0" fillId="5" borderId="10" xfId="0" applyFill="1" applyBorder="1" applyAlignment="1"/>
    <xf numFmtId="9" fontId="16" fillId="8" borderId="14" xfId="1" applyFont="1" applyFill="1" applyBorder="1" applyAlignment="1"/>
    <xf numFmtId="49" fontId="0" fillId="5" borderId="10" xfId="0" applyNumberFormat="1" applyFill="1" applyBorder="1" applyAlignment="1"/>
    <xf numFmtId="49" fontId="0" fillId="5" borderId="0" xfId="0" applyNumberFormat="1" applyFill="1" applyBorder="1" applyAlignment="1"/>
    <xf numFmtId="49" fontId="10" fillId="5" borderId="10" xfId="0" applyNumberFormat="1" applyFont="1" applyFill="1" applyBorder="1" applyAlignment="1"/>
    <xf numFmtId="49" fontId="10" fillId="5" borderId="0" xfId="0" applyNumberFormat="1" applyFont="1" applyFill="1" applyBorder="1" applyAlignment="1"/>
    <xf numFmtId="0" fontId="0" fillId="5" borderId="0" xfId="0" applyFill="1" applyBorder="1" applyAlignment="1"/>
    <xf numFmtId="49" fontId="0" fillId="5" borderId="0" xfId="0" applyNumberFormat="1" applyFont="1" applyFill="1" applyBorder="1" applyAlignment="1"/>
    <xf numFmtId="49" fontId="0" fillId="5" borderId="10" xfId="0" applyNumberFormat="1" applyFont="1" applyFill="1" applyBorder="1" applyAlignment="1"/>
    <xf numFmtId="4" fontId="14" fillId="5" borderId="2" xfId="0" applyNumberFormat="1" applyFont="1" applyFill="1" applyBorder="1"/>
    <xf numFmtId="4" fontId="0" fillId="5" borderId="17" xfId="51" applyNumberFormat="1" applyFont="1" applyFill="1" applyBorder="1" applyAlignment="1"/>
    <xf numFmtId="4" fontId="10" fillId="5" borderId="17" xfId="51" applyNumberFormat="1" applyFont="1" applyFill="1" applyBorder="1" applyAlignment="1"/>
    <xf numFmtId="4" fontId="30" fillId="5" borderId="17" xfId="51" applyNumberFormat="1" applyFont="1" applyFill="1" applyBorder="1" applyAlignment="1"/>
    <xf numFmtId="4" fontId="14" fillId="5" borderId="0" xfId="0" applyNumberFormat="1" applyFont="1" applyFill="1" applyBorder="1" applyAlignment="1"/>
    <xf numFmtId="4" fontId="15" fillId="5" borderId="0" xfId="0" applyNumberFormat="1" applyFont="1" applyFill="1" applyBorder="1" applyAlignment="1"/>
    <xf numFmtId="0" fontId="18" fillId="4" borderId="0" xfId="0" applyFont="1" applyFill="1" applyBorder="1" applyAlignment="1">
      <alignment vertical="center"/>
    </xf>
    <xf numFmtId="49" fontId="0" fillId="5" borderId="0" xfId="0" applyNumberFormat="1" applyFill="1" applyBorder="1" applyAlignment="1">
      <alignment horizontal="right"/>
    </xf>
    <xf numFmtId="9" fontId="16" fillId="13" borderId="6" xfId="1" applyFont="1" applyFill="1" applyBorder="1" applyAlignment="1"/>
    <xf numFmtId="170" fontId="11" fillId="5" borderId="10" xfId="0" applyNumberFormat="1" applyFont="1" applyFill="1" applyBorder="1" applyAlignment="1"/>
    <xf numFmtId="0" fontId="14" fillId="5" borderId="3" xfId="0" applyFont="1" applyFill="1" applyBorder="1" applyAlignment="1"/>
    <xf numFmtId="173" fontId="11" fillId="3" borderId="7" xfId="0" applyNumberFormat="1" applyFont="1" applyFill="1" applyBorder="1" applyAlignment="1"/>
    <xf numFmtId="0" fontId="11" fillId="3" borderId="9" xfId="0" applyFont="1" applyFill="1" applyBorder="1" applyAlignment="1"/>
    <xf numFmtId="173" fontId="31" fillId="5" borderId="10" xfId="0" applyNumberFormat="1" applyFont="1" applyFill="1" applyBorder="1" applyAlignment="1"/>
    <xf numFmtId="167" fontId="0" fillId="3" borderId="2" xfId="0" applyNumberFormat="1" applyFill="1" applyBorder="1"/>
    <xf numFmtId="167" fontId="0" fillId="3" borderId="14" xfId="0" applyNumberFormat="1" applyFill="1" applyBorder="1"/>
    <xf numFmtId="167" fontId="0" fillId="3" borderId="6" xfId="0" applyNumberFormat="1" applyFill="1" applyBorder="1"/>
    <xf numFmtId="167" fontId="14" fillId="3" borderId="6" xfId="0" applyNumberFormat="1" applyFont="1" applyFill="1" applyBorder="1"/>
    <xf numFmtId="167" fontId="14" fillId="3" borderId="4" xfId="0" applyNumberFormat="1" applyFont="1" applyFill="1" applyBorder="1"/>
    <xf numFmtId="0" fontId="31" fillId="5" borderId="10" xfId="0" applyFont="1" applyFill="1" applyBorder="1" applyAlignment="1"/>
    <xf numFmtId="0" fontId="31" fillId="5" borderId="3" xfId="0" applyFont="1" applyFill="1" applyBorder="1" applyAlignment="1"/>
    <xf numFmtId="173" fontId="11" fillId="3" borderId="8" xfId="0" applyNumberFormat="1" applyFont="1" applyFill="1" applyBorder="1" applyAlignment="1">
      <alignment horizontal="left"/>
    </xf>
    <xf numFmtId="167" fontId="0" fillId="0" borderId="0" xfId="0" applyNumberFormat="1" applyFill="1"/>
    <xf numFmtId="0" fontId="34" fillId="3" borderId="7" xfId="2" applyFont="1" applyFill="1" applyBorder="1" applyAlignment="1">
      <alignment vertical="top"/>
    </xf>
    <xf numFmtId="0" fontId="34" fillId="3" borderId="10" xfId="2" applyFont="1" applyFill="1" applyBorder="1" applyAlignment="1">
      <alignment vertical="top"/>
    </xf>
    <xf numFmtId="0" fontId="34" fillId="3" borderId="8" xfId="2" applyFont="1" applyFill="1" applyBorder="1" applyAlignment="1">
      <alignment vertical="top"/>
    </xf>
    <xf numFmtId="0" fontId="34" fillId="3" borderId="0" xfId="2" applyFont="1" applyFill="1" applyBorder="1" applyAlignment="1">
      <alignment vertical="top"/>
    </xf>
    <xf numFmtId="0" fontId="35" fillId="3" borderId="8" xfId="2" applyFont="1" applyFill="1" applyBorder="1" applyAlignment="1">
      <alignment vertical="top"/>
    </xf>
    <xf numFmtId="168" fontId="14" fillId="5" borderId="24" xfId="0" applyNumberFormat="1" applyFont="1" applyFill="1" applyBorder="1" applyAlignment="1">
      <alignment horizontal="center"/>
    </xf>
    <xf numFmtId="0" fontId="24" fillId="5" borderId="0" xfId="0" applyFont="1" applyFill="1" applyBorder="1" applyAlignment="1">
      <alignment vertical="center"/>
    </xf>
    <xf numFmtId="0" fontId="24" fillId="5" borderId="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0" xfId="0" applyFont="1"/>
    <xf numFmtId="0" fontId="9" fillId="4" borderId="1" xfId="2" applyFont="1" applyFill="1" applyBorder="1" applyAlignment="1">
      <alignment horizontal="center" vertical="top"/>
    </xf>
    <xf numFmtId="0" fontId="0" fillId="5" borderId="16" xfId="0" applyFill="1" applyBorder="1"/>
    <xf numFmtId="4" fontId="14" fillId="5" borderId="10" xfId="0" applyNumberFormat="1" applyFont="1" applyFill="1" applyBorder="1" applyAlignment="1"/>
    <xf numFmtId="4" fontId="15" fillId="5" borderId="10" xfId="0" applyNumberFormat="1" applyFont="1" applyFill="1" applyBorder="1" applyAlignment="1"/>
    <xf numFmtId="4" fontId="0" fillId="7" borderId="10" xfId="51" applyNumberFormat="1" applyFont="1" applyFill="1" applyBorder="1" applyAlignment="1"/>
    <xf numFmtId="4" fontId="0" fillId="5" borderId="10" xfId="51" applyNumberFormat="1" applyFont="1" applyFill="1" applyBorder="1" applyAlignment="1"/>
    <xf numFmtId="4" fontId="10" fillId="5" borderId="10" xfId="51" applyNumberFormat="1" applyFont="1" applyFill="1" applyBorder="1" applyAlignment="1"/>
    <xf numFmtId="4" fontId="30" fillId="5" borderId="10" xfId="51" applyNumberFormat="1" applyFont="1" applyFill="1" applyBorder="1" applyAlignment="1"/>
    <xf numFmtId="4" fontId="0" fillId="5" borderId="11" xfId="0" applyNumberFormat="1" applyFill="1" applyBorder="1" applyAlignment="1">
      <alignment horizontal="left" indent="2"/>
    </xf>
    <xf numFmtId="4" fontId="14" fillId="5" borderId="17" xfId="0" applyNumberFormat="1" applyFont="1" applyFill="1" applyBorder="1" applyAlignment="1"/>
    <xf numFmtId="4" fontId="15" fillId="5" borderId="17" xfId="0" applyNumberFormat="1" applyFont="1" applyFill="1" applyBorder="1" applyAlignment="1"/>
    <xf numFmtId="4" fontId="10" fillId="5" borderId="0" xfId="51" applyNumberFormat="1" applyFont="1" applyFill="1" applyBorder="1" applyAlignment="1"/>
    <xf numFmtId="4" fontId="0" fillId="5" borderId="0" xfId="51" applyNumberFormat="1" applyFont="1" applyFill="1" applyBorder="1" applyAlignment="1"/>
    <xf numFmtId="4" fontId="30" fillId="5" borderId="0" xfId="51" applyNumberFormat="1" applyFont="1" applyFill="1" applyBorder="1" applyAlignment="1"/>
    <xf numFmtId="4" fontId="0" fillId="5" borderId="2" xfId="0" applyNumberFormat="1" applyFill="1" applyBorder="1" applyAlignment="1">
      <alignment horizontal="left" indent="2"/>
    </xf>
    <xf numFmtId="4" fontId="15" fillId="5" borderId="10" xfId="0" applyNumberFormat="1" applyFont="1" applyFill="1" applyBorder="1"/>
    <xf numFmtId="174" fontId="36" fillId="5" borderId="10" xfId="0" applyNumberFormat="1" applyFont="1" applyFill="1" applyBorder="1"/>
    <xf numFmtId="4" fontId="0" fillId="5" borderId="10" xfId="0" applyNumberFormat="1" applyFill="1" applyBorder="1"/>
    <xf numFmtId="4" fontId="0" fillId="5" borderId="11" xfId="0" applyNumberFormat="1" applyFill="1" applyBorder="1"/>
    <xf numFmtId="4" fontId="15" fillId="5" borderId="11" xfId="0" applyNumberFormat="1" applyFont="1" applyFill="1" applyBorder="1"/>
    <xf numFmtId="4" fontId="15" fillId="5" borderId="2" xfId="0" applyNumberFormat="1" applyFont="1" applyFill="1" applyBorder="1"/>
    <xf numFmtId="4" fontId="15" fillId="6" borderId="10" xfId="0" applyNumberFormat="1" applyFont="1" applyFill="1" applyBorder="1"/>
    <xf numFmtId="4" fontId="15" fillId="6" borderId="11" xfId="0" applyNumberFormat="1" applyFont="1" applyFill="1" applyBorder="1"/>
    <xf numFmtId="4" fontId="14" fillId="5" borderId="11" xfId="0" applyNumberFormat="1" applyFont="1" applyFill="1" applyBorder="1" applyAlignment="1"/>
    <xf numFmtId="4" fontId="14" fillId="5" borderId="13" xfId="0" applyNumberFormat="1" applyFont="1" applyFill="1" applyBorder="1" applyAlignment="1"/>
    <xf numFmtId="4" fontId="14" fillId="5" borderId="2" xfId="0" applyNumberFormat="1" applyFont="1" applyFill="1" applyBorder="1" applyAlignment="1"/>
    <xf numFmtId="4" fontId="10" fillId="5" borderId="11" xfId="51" applyNumberFormat="1" applyFont="1" applyFill="1" applyBorder="1" applyAlignment="1"/>
    <xf numFmtId="4" fontId="10" fillId="5" borderId="13" xfId="51" applyNumberFormat="1" applyFont="1" applyFill="1" applyBorder="1" applyAlignment="1"/>
    <xf numFmtId="4" fontId="10" fillId="5" borderId="2" xfId="51" applyNumberFormat="1" applyFont="1" applyFill="1" applyBorder="1" applyAlignment="1"/>
    <xf numFmtId="4" fontId="0" fillId="7" borderId="3" xfId="0" applyNumberFormat="1" applyFont="1" applyFill="1" applyBorder="1" applyAlignment="1">
      <alignment horizontal="right" indent="1"/>
    </xf>
    <xf numFmtId="4" fontId="8" fillId="7" borderId="17" xfId="51" applyNumberFormat="1" applyFont="1" applyFill="1" applyBorder="1" applyAlignment="1"/>
    <xf numFmtId="4" fontId="14" fillId="5" borderId="10" xfId="51" applyNumberFormat="1" applyFont="1" applyFill="1" applyBorder="1" applyAlignment="1"/>
    <xf numFmtId="4" fontId="14" fillId="5" borderId="11" xfId="51" applyNumberFormat="1" applyFont="1" applyFill="1" applyBorder="1" applyAlignment="1"/>
    <xf numFmtId="4" fontId="14" fillId="5" borderId="13" xfId="51" applyNumberFormat="1" applyFont="1" applyFill="1" applyBorder="1" applyAlignment="1"/>
    <xf numFmtId="4" fontId="14" fillId="5" borderId="2" xfId="51" applyNumberFormat="1" applyFont="1" applyFill="1" applyBorder="1" applyAlignment="1"/>
    <xf numFmtId="4" fontId="14" fillId="5" borderId="17" xfId="51" applyNumberFormat="1" applyFont="1" applyFill="1" applyBorder="1" applyAlignment="1"/>
    <xf numFmtId="4" fontId="14" fillId="5" borderId="0" xfId="51" applyNumberFormat="1" applyFont="1" applyFill="1" applyBorder="1" applyAlignment="1"/>
    <xf numFmtId="4" fontId="15" fillId="5" borderId="17" xfId="51" applyNumberFormat="1" applyFont="1" applyFill="1" applyBorder="1" applyAlignment="1"/>
    <xf numFmtId="4" fontId="15" fillId="5" borderId="0" xfId="51" applyNumberFormat="1" applyFont="1" applyFill="1" applyBorder="1" applyAlignment="1"/>
    <xf numFmtId="4" fontId="15" fillId="5" borderId="10" xfId="51" applyNumberFormat="1" applyFont="1" applyFill="1" applyBorder="1" applyAlignment="1"/>
    <xf numFmtId="0" fontId="37" fillId="0" borderId="0" xfId="18" applyFont="1" applyBorder="1" applyAlignment="1"/>
    <xf numFmtId="0" fontId="37" fillId="0" borderId="0" xfId="18" applyFont="1" applyBorder="1" applyAlignment="1">
      <alignment horizontal="center"/>
    </xf>
    <xf numFmtId="0" fontId="37" fillId="2" borderId="0" xfId="18" applyFont="1" applyFill="1" applyAlignment="1"/>
    <xf numFmtId="0" fontId="37" fillId="2" borderId="0" xfId="18" applyFont="1" applyFill="1" applyAlignment="1">
      <alignment horizontal="left"/>
    </xf>
    <xf numFmtId="0" fontId="37" fillId="2" borderId="0" xfId="18" applyFont="1" applyFill="1" applyAlignment="1">
      <alignment horizontal="center"/>
    </xf>
    <xf numFmtId="0" fontId="37" fillId="2" borderId="0" xfId="18" applyFont="1" applyFill="1" applyBorder="1" applyAlignment="1"/>
    <xf numFmtId="0" fontId="38" fillId="0" borderId="0" xfId="18" applyFont="1" applyBorder="1" applyAlignment="1"/>
    <xf numFmtId="0" fontId="39" fillId="0" borderId="0" xfId="18" applyFont="1" applyBorder="1" applyAlignment="1"/>
    <xf numFmtId="0" fontId="37" fillId="0" borderId="0" xfId="18" applyFont="1" applyBorder="1" applyAlignment="1">
      <alignment horizontal="right"/>
    </xf>
    <xf numFmtId="0" fontId="5" fillId="0" borderId="0" xfId="18" applyFont="1" applyBorder="1" applyAlignment="1"/>
    <xf numFmtId="0" fontId="38" fillId="0" borderId="0" xfId="18" applyFont="1" applyBorder="1" applyAlignment="1">
      <alignment horizontal="left"/>
    </xf>
    <xf numFmtId="0" fontId="37" fillId="2" borderId="0" xfId="18" applyFont="1" applyFill="1" applyBorder="1" applyAlignment="1">
      <alignment horizontal="center"/>
    </xf>
    <xf numFmtId="175" fontId="43" fillId="6" borderId="1" xfId="1" applyNumberFormat="1" applyFont="1" applyFill="1" applyBorder="1" applyAlignment="1">
      <alignment horizontal="center"/>
    </xf>
    <xf numFmtId="176" fontId="37" fillId="2" borderId="0" xfId="18" applyNumberFormat="1" applyFont="1" applyFill="1" applyAlignment="1"/>
    <xf numFmtId="0" fontId="37" fillId="0" borderId="0" xfId="18" applyFont="1" applyBorder="1" applyAlignment="1">
      <alignment horizontal="left"/>
    </xf>
    <xf numFmtId="0" fontId="37" fillId="2" borderId="0" xfId="18" applyFont="1" applyFill="1" applyBorder="1" applyAlignment="1">
      <alignment horizontal="left"/>
    </xf>
    <xf numFmtId="0" fontId="37" fillId="2" borderId="0" xfId="18" applyFont="1" applyFill="1" applyBorder="1" applyAlignment="1">
      <alignment horizontal="right"/>
    </xf>
    <xf numFmtId="4" fontId="37" fillId="2" borderId="0" xfId="18" applyNumberFormat="1" applyFont="1" applyFill="1" applyBorder="1" applyAlignment="1">
      <alignment horizontal="right"/>
    </xf>
    <xf numFmtId="0" fontId="38" fillId="0" borderId="0" xfId="18" applyFont="1" applyBorder="1" applyAlignment="1">
      <alignment horizontal="center" wrapText="1"/>
    </xf>
    <xf numFmtId="0" fontId="38" fillId="0" borderId="0" xfId="18" applyFont="1" applyBorder="1" applyAlignment="1">
      <alignment horizontal="center"/>
    </xf>
    <xf numFmtId="49" fontId="10" fillId="5" borderId="10" xfId="0" applyNumberFormat="1" applyFont="1" applyFill="1" applyBorder="1" applyAlignment="1"/>
    <xf numFmtId="49" fontId="10" fillId="5" borderId="0" xfId="0" applyNumberFormat="1" applyFont="1" applyFill="1" applyBorder="1" applyAlignment="1"/>
    <xf numFmtId="49" fontId="0" fillId="5" borderId="10" xfId="0" applyNumberFormat="1" applyFill="1" applyBorder="1" applyAlignment="1"/>
    <xf numFmtId="49" fontId="0" fillId="5" borderId="0" xfId="0" applyNumberFormat="1" applyFill="1" applyBorder="1" applyAlignment="1"/>
    <xf numFmtId="167" fontId="0" fillId="6" borderId="15" xfId="0" applyNumberFormat="1" applyFill="1" applyBorder="1"/>
    <xf numFmtId="167" fontId="14" fillId="6" borderId="20" xfId="0" applyNumberFormat="1" applyFont="1" applyFill="1" applyBorder="1"/>
    <xf numFmtId="167" fontId="0" fillId="3" borderId="27" xfId="0" applyNumberFormat="1" applyFill="1" applyBorder="1"/>
    <xf numFmtId="167" fontId="0" fillId="3" borderId="28" xfId="0" applyNumberFormat="1" applyFill="1" applyBorder="1"/>
    <xf numFmtId="167" fontId="14" fillId="3" borderId="28" xfId="0" applyNumberFormat="1" applyFont="1" applyFill="1" applyBorder="1"/>
    <xf numFmtId="167" fontId="14" fillId="3" borderId="29" xfId="0" applyNumberFormat="1" applyFont="1" applyFill="1" applyBorder="1"/>
    <xf numFmtId="0" fontId="11" fillId="3" borderId="25" xfId="0" applyFont="1" applyFill="1" applyBorder="1" applyAlignment="1"/>
    <xf numFmtId="0" fontId="11" fillId="3" borderId="30" xfId="0" applyFont="1" applyFill="1" applyBorder="1" applyAlignment="1"/>
    <xf numFmtId="0" fontId="9" fillId="6" borderId="21" xfId="0" applyFont="1" applyFill="1" applyBorder="1" applyAlignment="1"/>
    <xf numFmtId="0" fontId="32" fillId="6" borderId="21" xfId="0" applyFont="1" applyFill="1" applyBorder="1" applyAlignment="1"/>
    <xf numFmtId="167" fontId="14" fillId="11" borderId="19" xfId="0" applyNumberFormat="1" applyFont="1" applyFill="1" applyBorder="1"/>
    <xf numFmtId="167" fontId="0" fillId="11" borderId="21" xfId="0" applyNumberFormat="1" applyFill="1" applyBorder="1"/>
    <xf numFmtId="167" fontId="15" fillId="11" borderId="19" xfId="0" applyNumberFormat="1" applyFont="1" applyFill="1" applyBorder="1"/>
    <xf numFmtId="167" fontId="10" fillId="11" borderId="21" xfId="0" applyNumberFormat="1" applyFont="1" applyFill="1" applyBorder="1"/>
    <xf numFmtId="0" fontId="11" fillId="3" borderId="0" xfId="0" applyFont="1" applyFill="1" applyBorder="1" applyAlignment="1"/>
    <xf numFmtId="0" fontId="11" fillId="3" borderId="31" xfId="0" applyFont="1" applyFill="1" applyBorder="1" applyAlignment="1"/>
    <xf numFmtId="0" fontId="4" fillId="0" borderId="0" xfId="18" applyFont="1" applyBorder="1" applyAlignment="1"/>
    <xf numFmtId="4" fontId="0" fillId="5" borderId="0" xfId="0" applyNumberFormat="1" applyFill="1" applyBorder="1" applyProtection="1">
      <protection locked="0"/>
    </xf>
    <xf numFmtId="4" fontId="14" fillId="5" borderId="10" xfId="0" applyNumberFormat="1" applyFont="1" applyFill="1" applyBorder="1" applyProtection="1">
      <protection locked="0"/>
    </xf>
    <xf numFmtId="4" fontId="14" fillId="5" borderId="11" xfId="0" applyNumberFormat="1" applyFont="1" applyFill="1" applyBorder="1" applyProtection="1">
      <protection locked="0"/>
    </xf>
    <xf numFmtId="4" fontId="14" fillId="5" borderId="2" xfId="0" applyNumberFormat="1" applyFont="1" applyFill="1" applyBorder="1" applyProtection="1">
      <protection locked="0"/>
    </xf>
    <xf numFmtId="4" fontId="15" fillId="6" borderId="2" xfId="0" applyNumberFormat="1" applyFont="1" applyFill="1" applyBorder="1" applyProtection="1">
      <protection locked="0"/>
    </xf>
    <xf numFmtId="4" fontId="14" fillId="5" borderId="17" xfId="51" applyNumberFormat="1" applyFont="1" applyFill="1" applyBorder="1" applyAlignment="1">
      <alignment horizontal="left" indent="3"/>
    </xf>
    <xf numFmtId="4" fontId="14" fillId="5" borderId="13" xfId="51" applyNumberFormat="1" applyFont="1" applyFill="1" applyBorder="1" applyAlignment="1">
      <alignment horizontal="left" indent="2"/>
    </xf>
    <xf numFmtId="4" fontId="14" fillId="5" borderId="17" xfId="51" applyNumberFormat="1" applyFont="1" applyFill="1" applyBorder="1" applyAlignment="1">
      <alignment horizontal="left" indent="1"/>
    </xf>
    <xf numFmtId="4" fontId="14" fillId="5" borderId="17" xfId="0" applyNumberFormat="1" applyFont="1" applyFill="1" applyBorder="1"/>
    <xf numFmtId="4" fontId="0" fillId="6" borderId="0" xfId="0" applyNumberFormat="1" applyFill="1" applyBorder="1" applyProtection="1">
      <protection locked="0"/>
    </xf>
    <xf numFmtId="4" fontId="0" fillId="6" borderId="0" xfId="0" applyNumberFormat="1" applyFill="1" applyBorder="1"/>
    <xf numFmtId="4" fontId="14" fillId="6" borderId="0" xfId="0" applyNumberFormat="1" applyFont="1" applyFill="1" applyBorder="1"/>
    <xf numFmtId="4" fontId="15" fillId="6" borderId="2" xfId="0" applyNumberFormat="1" applyFont="1" applyFill="1" applyBorder="1"/>
    <xf numFmtId="0" fontId="0" fillId="6" borderId="8" xfId="0" applyFill="1" applyBorder="1"/>
    <xf numFmtId="4" fontId="0" fillId="6" borderId="2" xfId="0" applyNumberFormat="1" applyFill="1" applyBorder="1"/>
    <xf numFmtId="4" fontId="14" fillId="5" borderId="7" xfId="51" applyNumberFormat="1" applyFont="1" applyFill="1" applyBorder="1" applyAlignment="1"/>
    <xf numFmtId="4" fontId="14" fillId="5" borderId="8" xfId="51" applyNumberFormat="1" applyFont="1" applyFill="1" applyBorder="1" applyAlignment="1"/>
    <xf numFmtId="4" fontId="15" fillId="6" borderId="0" xfId="51" applyNumberFormat="1" applyFont="1" applyFill="1" applyBorder="1" applyAlignment="1"/>
    <xf numFmtId="0" fontId="27" fillId="6" borderId="16" xfId="2" applyFont="1" applyFill="1" applyBorder="1" applyAlignment="1">
      <alignment horizontal="center" vertical="top"/>
    </xf>
    <xf numFmtId="0" fontId="27" fillId="0" borderId="1" xfId="2" applyFont="1" applyFill="1" applyBorder="1" applyAlignment="1">
      <alignment horizontal="center" vertical="top"/>
    </xf>
    <xf numFmtId="167" fontId="14" fillId="5" borderId="17" xfId="51" applyFont="1" applyFill="1" applyBorder="1" applyAlignment="1">
      <alignment horizontal="left" indent="1"/>
    </xf>
    <xf numFmtId="4" fontId="14" fillId="5" borderId="13" xfId="51" applyNumberFormat="1" applyFont="1" applyFill="1" applyBorder="1" applyAlignment="1">
      <alignment horizontal="left" indent="1"/>
    </xf>
    <xf numFmtId="4" fontId="14" fillId="5" borderId="3" xfId="0" applyNumberFormat="1" applyFont="1" applyFill="1" applyBorder="1"/>
    <xf numFmtId="4" fontId="15" fillId="5" borderId="17" xfId="0" applyNumberFormat="1" applyFont="1" applyFill="1" applyBorder="1"/>
    <xf numFmtId="4" fontId="15" fillId="5" borderId="16" xfId="0" applyNumberFormat="1" applyFont="1" applyFill="1" applyBorder="1"/>
    <xf numFmtId="4" fontId="15" fillId="5" borderId="13" xfId="0" applyNumberFormat="1" applyFont="1" applyFill="1" applyBorder="1"/>
    <xf numFmtId="4" fontId="0" fillId="11" borderId="13" xfId="0" applyNumberFormat="1" applyFill="1" applyBorder="1"/>
    <xf numFmtId="4" fontId="31" fillId="0" borderId="3" xfId="0" applyNumberFormat="1" applyFont="1" applyFill="1" applyBorder="1" applyAlignment="1">
      <alignment horizontal="left" indent="1"/>
    </xf>
    <xf numFmtId="4" fontId="31" fillId="7" borderId="17" xfId="51" applyNumberFormat="1" applyFont="1" applyFill="1" applyBorder="1" applyAlignment="1"/>
    <xf numFmtId="4" fontId="31" fillId="5" borderId="8" xfId="0" applyNumberFormat="1" applyFont="1" applyFill="1" applyBorder="1"/>
    <xf numFmtId="4" fontId="31" fillId="5" borderId="9" xfId="0" applyNumberFormat="1" applyFont="1" applyFill="1" applyBorder="1"/>
    <xf numFmtId="0" fontId="0" fillId="5" borderId="32" xfId="0" applyFill="1" applyBorder="1"/>
    <xf numFmtId="4" fontId="0" fillId="7" borderId="16" xfId="0" applyNumberFormat="1" applyFill="1" applyBorder="1"/>
    <xf numFmtId="4" fontId="0" fillId="7" borderId="17" xfId="0" applyNumberFormat="1" applyFill="1" applyBorder="1"/>
    <xf numFmtId="4" fontId="0" fillId="7" borderId="13" xfId="0" applyNumberFormat="1" applyFill="1" applyBorder="1"/>
    <xf numFmtId="4" fontId="14" fillId="5" borderId="11" xfId="0" applyNumberFormat="1" applyFont="1" applyFill="1" applyBorder="1"/>
    <xf numFmtId="4" fontId="14" fillId="5" borderId="12" xfId="0" applyNumberFormat="1" applyFont="1" applyFill="1" applyBorder="1"/>
    <xf numFmtId="4" fontId="15" fillId="5" borderId="0" xfId="1" applyNumberFormat="1" applyFont="1" applyFill="1" applyBorder="1" applyAlignment="1">
      <alignment horizontal="center"/>
    </xf>
    <xf numFmtId="4" fontId="28" fillId="5" borderId="0" xfId="0" applyNumberFormat="1" applyFont="1" applyFill="1" applyAlignment="1">
      <alignment horizontal="left" vertical="top"/>
    </xf>
    <xf numFmtId="4" fontId="9" fillId="5" borderId="0" xfId="0" applyNumberFormat="1" applyFont="1" applyFill="1" applyAlignment="1">
      <alignment horizontal="center" vertical="top"/>
    </xf>
    <xf numFmtId="0" fontId="0" fillId="5" borderId="10" xfId="0" applyFill="1" applyBorder="1" applyAlignment="1">
      <alignment horizontal="left" indent="3"/>
    </xf>
    <xf numFmtId="0" fontId="0" fillId="5" borderId="0" xfId="0" applyFill="1" applyBorder="1" applyAlignment="1">
      <alignment horizontal="left" indent="3"/>
    </xf>
    <xf numFmtId="0" fontId="14" fillId="5" borderId="0" xfId="0" applyFont="1" applyFill="1" applyBorder="1" applyAlignment="1">
      <alignment horizontal="right"/>
    </xf>
    <xf numFmtId="0" fontId="0" fillId="5" borderId="10" xfId="0" applyFill="1" applyBorder="1" applyAlignment="1">
      <alignment horizontal="left" indent="1"/>
    </xf>
    <xf numFmtId="0" fontId="0" fillId="5" borderId="0" xfId="0" applyFill="1" applyBorder="1" applyAlignment="1">
      <alignment horizontal="left" indent="1"/>
    </xf>
    <xf numFmtId="9" fontId="15" fillId="5" borderId="1" xfId="1" applyNumberFormat="1" applyFont="1" applyFill="1" applyBorder="1" applyAlignment="1">
      <alignment horizontal="center"/>
    </xf>
    <xf numFmtId="167" fontId="0" fillId="0" borderId="16" xfId="51" applyFont="1" applyFill="1" applyBorder="1" applyAlignment="1">
      <alignment horizontal="center"/>
    </xf>
    <xf numFmtId="167" fontId="0" fillId="0" borderId="17" xfId="51" applyFont="1" applyFill="1" applyBorder="1" applyAlignment="1"/>
    <xf numFmtId="167" fontId="0" fillId="0" borderId="17" xfId="51" applyFont="1" applyFill="1" applyBorder="1" applyAlignment="1">
      <alignment horizontal="left" indent="1"/>
    </xf>
    <xf numFmtId="167" fontId="0" fillId="0" borderId="13" xfId="51" applyFont="1" applyFill="1" applyBorder="1" applyAlignment="1"/>
    <xf numFmtId="4" fontId="31" fillId="5" borderId="0" xfId="0" applyNumberFormat="1" applyFont="1" applyFill="1" applyBorder="1"/>
    <xf numFmtId="4" fontId="13" fillId="4" borderId="8" xfId="0" applyNumberFormat="1" applyFont="1" applyFill="1" applyBorder="1" applyAlignment="1">
      <alignment horizontal="left" vertical="top"/>
    </xf>
    <xf numFmtId="0" fontId="9" fillId="4" borderId="16" xfId="2" applyFont="1" applyFill="1" applyBorder="1" applyAlignment="1">
      <alignment horizontal="center" vertical="top"/>
    </xf>
    <xf numFmtId="0" fontId="24" fillId="5" borderId="0" xfId="0" applyFont="1" applyFill="1" applyBorder="1" applyAlignment="1"/>
    <xf numFmtId="168" fontId="14" fillId="5" borderId="10" xfId="0" applyNumberFormat="1" applyFont="1" applyFill="1" applyBorder="1" applyAlignment="1"/>
    <xf numFmtId="168" fontId="14" fillId="0" borderId="33" xfId="0" applyNumberFormat="1" applyFont="1" applyFill="1" applyBorder="1" applyAlignment="1"/>
    <xf numFmtId="168" fontId="14" fillId="0" borderId="34" xfId="0" applyNumberFormat="1" applyFont="1" applyFill="1" applyBorder="1" applyAlignment="1"/>
    <xf numFmtId="0" fontId="0" fillId="0" borderId="13" xfId="0" applyNumberFormat="1" applyFill="1" applyBorder="1" applyAlignment="1"/>
    <xf numFmtId="1" fontId="14" fillId="0" borderId="4" xfId="0" applyNumberFormat="1" applyFont="1" applyFill="1" applyBorder="1" applyAlignment="1">
      <alignment horizontal="right" indent="2"/>
    </xf>
    <xf numFmtId="4" fontId="0" fillId="0" borderId="0" xfId="0" applyNumberFormat="1" applyFill="1"/>
    <xf numFmtId="4" fontId="14" fillId="11" borderId="16" xfId="0" applyNumberFormat="1" applyFont="1" applyFill="1" applyBorder="1"/>
    <xf numFmtId="4" fontId="0" fillId="0" borderId="11" xfId="51" applyNumberFormat="1" applyFont="1" applyFill="1" applyBorder="1" applyAlignment="1"/>
    <xf numFmtId="4" fontId="0" fillId="0" borderId="13" xfId="51" applyNumberFormat="1" applyFont="1" applyFill="1" applyBorder="1" applyAlignment="1"/>
    <xf numFmtId="4" fontId="0" fillId="0" borderId="2" xfId="51" applyNumberFormat="1" applyFont="1" applyFill="1" applyBorder="1" applyAlignment="1"/>
    <xf numFmtId="0" fontId="37" fillId="0" borderId="8" xfId="18" applyFont="1" applyBorder="1" applyAlignment="1">
      <alignment horizontal="center"/>
    </xf>
    <xf numFmtId="0" fontId="37" fillId="0" borderId="8" xfId="18" applyFont="1" applyBorder="1" applyAlignment="1"/>
    <xf numFmtId="0" fontId="37" fillId="0" borderId="8" xfId="18" applyFont="1" applyBorder="1" applyAlignment="1">
      <alignment horizontal="left"/>
    </xf>
    <xf numFmtId="0" fontId="37" fillId="2" borderId="8" xfId="18" applyFont="1" applyFill="1" applyBorder="1" applyAlignment="1"/>
    <xf numFmtId="0" fontId="40" fillId="0" borderId="0" xfId="18" applyFont="1" applyFill="1" applyBorder="1" applyAlignment="1">
      <alignment horizontal="center"/>
    </xf>
    <xf numFmtId="0" fontId="40" fillId="0" borderId="2" xfId="18" applyFont="1" applyFill="1" applyBorder="1" applyAlignment="1">
      <alignment horizontal="center"/>
    </xf>
    <xf numFmtId="0" fontId="37" fillId="0" borderId="0" xfId="18" applyFont="1" applyFill="1" applyBorder="1" applyAlignment="1">
      <alignment horizontal="center"/>
    </xf>
    <xf numFmtId="0" fontId="37" fillId="0" borderId="2" xfId="18" applyFont="1" applyFill="1" applyBorder="1" applyAlignment="1">
      <alignment horizontal="center"/>
    </xf>
    <xf numFmtId="0" fontId="0" fillId="0" borderId="0" xfId="0" applyFill="1" applyBorder="1" applyAlignment="1">
      <alignment horizontal="left" indent="3"/>
    </xf>
    <xf numFmtId="0" fontId="0" fillId="0" borderId="0" xfId="0" applyFill="1" applyBorder="1" applyAlignment="1">
      <alignment horizontal="left" indent="2"/>
    </xf>
    <xf numFmtId="4" fontId="0" fillId="0" borderId="0" xfId="0" applyNumberFormat="1" applyFill="1" applyBorder="1" applyAlignment="1">
      <alignment horizontal="left" indent="2"/>
    </xf>
    <xf numFmtId="4" fontId="0" fillId="0" borderId="0" xfId="0" applyNumberFormat="1" applyFill="1" applyBorder="1"/>
    <xf numFmtId="4" fontId="0" fillId="0" borderId="0" xfId="51" applyNumberFormat="1" applyFont="1" applyFill="1" applyBorder="1" applyAlignment="1">
      <alignment horizontal="left" indent="2"/>
    </xf>
    <xf numFmtId="4" fontId="0" fillId="0" borderId="0" xfId="0" applyNumberFormat="1" applyFill="1" applyBorder="1" applyAlignment="1">
      <alignment wrapText="1"/>
    </xf>
    <xf numFmtId="0" fontId="9" fillId="3" borderId="0" xfId="0" applyFont="1" applyFill="1" applyBorder="1" applyAlignment="1">
      <alignment vertical="top"/>
    </xf>
    <xf numFmtId="4" fontId="0" fillId="3" borderId="0" xfId="0" applyNumberFormat="1" applyFill="1" applyBorder="1" applyAlignment="1"/>
    <xf numFmtId="0" fontId="9" fillId="5" borderId="32" xfId="0" applyFont="1" applyFill="1" applyBorder="1" applyAlignment="1">
      <alignment horizontal="center" vertical="top"/>
    </xf>
    <xf numFmtId="4" fontId="0" fillId="5" borderId="32" xfId="0" applyNumberFormat="1" applyFill="1" applyBorder="1" applyAlignment="1"/>
    <xf numFmtId="4" fontId="0" fillId="0" borderId="0" xfId="0" applyNumberFormat="1" applyFill="1" applyBorder="1" applyAlignment="1">
      <alignment horizontal="right" indent="2"/>
    </xf>
    <xf numFmtId="4" fontId="0" fillId="6" borderId="0" xfId="0" applyNumberFormat="1" applyFill="1" applyBorder="1" applyAlignment="1">
      <alignment horizontal="right" indent="2"/>
    </xf>
    <xf numFmtId="4" fontId="0" fillId="6" borderId="0" xfId="0" applyNumberFormat="1" applyFill="1" applyBorder="1" applyAlignment="1"/>
    <xf numFmtId="0" fontId="0" fillId="5" borderId="0" xfId="0" applyFill="1" applyBorder="1" applyAlignment="1">
      <alignment horizontal="left"/>
    </xf>
    <xf numFmtId="0" fontId="32" fillId="5" borderId="0" xfId="0" applyFont="1" applyFill="1" applyBorder="1" applyAlignment="1"/>
    <xf numFmtId="4" fontId="0" fillId="5" borderId="0" xfId="0" applyNumberFormat="1" applyFill="1" applyBorder="1" applyAlignment="1">
      <alignment horizontal="right"/>
    </xf>
    <xf numFmtId="4" fontId="11" fillId="3" borderId="0" xfId="0" applyNumberFormat="1" applyFont="1" applyFill="1" applyBorder="1" applyAlignment="1">
      <alignment horizontal="right"/>
    </xf>
    <xf numFmtId="4" fontId="11" fillId="3" borderId="0" xfId="0" applyNumberFormat="1" applyFont="1" applyFill="1" applyBorder="1" applyAlignment="1">
      <alignment horizontal="right" wrapText="1"/>
    </xf>
    <xf numFmtId="4" fontId="47" fillId="0" borderId="0" xfId="0" applyNumberFormat="1" applyFont="1" applyFill="1" applyBorder="1"/>
    <xf numFmtId="0" fontId="32" fillId="0" borderId="0" xfId="0" applyFont="1" applyFill="1" applyBorder="1" applyAlignment="1"/>
    <xf numFmtId="9" fontId="0" fillId="0" borderId="0" xfId="1" applyFont="1" applyFill="1" applyBorder="1"/>
    <xf numFmtId="0" fontId="11" fillId="3" borderId="0" xfId="0" applyFont="1" applyFill="1" applyBorder="1" applyAlignment="1">
      <alignment horizontal="left" indent="2"/>
    </xf>
    <xf numFmtId="0" fontId="23" fillId="5" borderId="0" xfId="2" applyFont="1" applyFill="1" applyBorder="1" applyAlignment="1">
      <alignment horizontal="center" vertical="top"/>
    </xf>
    <xf numFmtId="4" fontId="0" fillId="5" borderId="0" xfId="0" applyNumberFormat="1" applyFill="1" applyBorder="1" applyAlignment="1">
      <alignment horizontal="left" indent="2"/>
    </xf>
    <xf numFmtId="4" fontId="0" fillId="5" borderId="0" xfId="0" applyNumberFormat="1" applyFill="1" applyBorder="1" applyAlignment="1">
      <alignment horizontal="right" indent="2"/>
    </xf>
    <xf numFmtId="9" fontId="0" fillId="5" borderId="0" xfId="1" applyFont="1" applyFill="1" applyBorder="1"/>
    <xf numFmtId="0" fontId="32" fillId="0" borderId="35" xfId="0" applyFont="1" applyFill="1" applyBorder="1" applyAlignment="1"/>
    <xf numFmtId="0" fontId="0" fillId="0" borderId="0" xfId="0" applyFill="1" applyBorder="1"/>
    <xf numFmtId="4" fontId="11" fillId="3" borderId="0" xfId="0" applyNumberFormat="1" applyFont="1" applyFill="1" applyBorder="1"/>
    <xf numFmtId="4" fontId="11" fillId="3" borderId="0" xfId="0" applyNumberFormat="1" applyFont="1" applyFill="1" applyBorder="1" applyAlignment="1">
      <alignment horizontal="center" wrapText="1"/>
    </xf>
    <xf numFmtId="4" fontId="0" fillId="6" borderId="0" xfId="0" applyNumberFormat="1" applyFill="1" applyBorder="1" applyAlignment="1">
      <alignment horizontal="left" indent="2"/>
    </xf>
    <xf numFmtId="0" fontId="9" fillId="3" borderId="0" xfId="0" applyFont="1" applyFill="1" applyBorder="1" applyAlignment="1"/>
    <xf numFmtId="4" fontId="11" fillId="3" borderId="0" xfId="0" applyNumberFormat="1" applyFont="1" applyFill="1" applyBorder="1" applyAlignment="1">
      <alignment horizontal="left" indent="2"/>
    </xf>
    <xf numFmtId="167" fontId="27" fillId="6" borderId="0" xfId="51" applyFont="1" applyFill="1" applyBorder="1" applyAlignment="1">
      <alignment horizontal="right" vertical="top"/>
    </xf>
    <xf numFmtId="4" fontId="49" fillId="5" borderId="0" xfId="0" applyNumberFormat="1" applyFont="1" applyFill="1" applyBorder="1" applyAlignment="1">
      <alignment wrapText="1"/>
    </xf>
    <xf numFmtId="0" fontId="27" fillId="5" borderId="0" xfId="0" applyFont="1" applyFill="1" applyBorder="1" applyAlignment="1">
      <alignment vertical="top"/>
    </xf>
    <xf numFmtId="4" fontId="49" fillId="5" borderId="0" xfId="0" applyNumberFormat="1" applyFont="1" applyFill="1" applyBorder="1" applyAlignment="1">
      <alignment horizontal="center" wrapText="1"/>
    </xf>
    <xf numFmtId="0" fontId="0" fillId="13" borderId="0" xfId="0" applyFill="1" applyBorder="1" applyAlignment="1">
      <alignment horizontal="left" indent="2"/>
    </xf>
    <xf numFmtId="4" fontId="0" fillId="13" borderId="0" xfId="0" applyNumberFormat="1" applyFill="1" applyBorder="1" applyAlignment="1">
      <alignment horizontal="right" indent="2"/>
    </xf>
    <xf numFmtId="167" fontId="27" fillId="13" borderId="0" xfId="51" applyFont="1" applyFill="1" applyBorder="1" applyAlignment="1">
      <alignment horizontal="right" vertical="top"/>
    </xf>
    <xf numFmtId="167" fontId="0" fillId="5" borderId="0" xfId="51" applyFont="1" applyFill="1" applyBorder="1"/>
    <xf numFmtId="4" fontId="0" fillId="0" borderId="0" xfId="0" applyNumberFormat="1" applyFont="1" applyFill="1" applyBorder="1" applyAlignment="1">
      <alignment horizontal="right" indent="2"/>
    </xf>
    <xf numFmtId="0" fontId="0" fillId="5" borderId="0" xfId="0" applyFont="1" applyFill="1" applyBorder="1" applyAlignment="1">
      <alignment horizontal="left" indent="2"/>
    </xf>
    <xf numFmtId="49" fontId="10" fillId="5" borderId="3" xfId="0" applyNumberFormat="1" applyFont="1" applyFill="1" applyBorder="1" applyAlignment="1"/>
    <xf numFmtId="175" fontId="43" fillId="5" borderId="0" xfId="1" applyNumberFormat="1" applyFont="1" applyFill="1" applyBorder="1" applyAlignment="1">
      <alignment horizontal="center"/>
    </xf>
    <xf numFmtId="0" fontId="0" fillId="4" borderId="2" xfId="0" applyFill="1" applyBorder="1"/>
    <xf numFmtId="4" fontId="31" fillId="5" borderId="0" xfId="0" applyNumberFormat="1" applyFont="1" applyFill="1" applyBorder="1" applyAlignment="1">
      <alignment horizontal="right"/>
    </xf>
    <xf numFmtId="4" fontId="31" fillId="6" borderId="0" xfId="0" applyNumberFormat="1" applyFont="1" applyFill="1" applyBorder="1" applyAlignment="1"/>
    <xf numFmtId="4" fontId="31" fillId="6" borderId="0" xfId="0" applyNumberFormat="1" applyFont="1" applyFill="1" applyBorder="1" applyAlignment="1">
      <alignment horizontal="right"/>
    </xf>
    <xf numFmtId="4" fontId="11" fillId="3" borderId="0" xfId="0" applyNumberFormat="1" applyFont="1" applyFill="1" applyBorder="1" applyAlignment="1">
      <alignment horizontal="center"/>
    </xf>
    <xf numFmtId="4" fontId="31" fillId="6" borderId="0" xfId="0" applyNumberFormat="1" applyFont="1" applyFill="1" applyBorder="1" applyAlignment="1">
      <alignment horizontal="right" indent="2"/>
    </xf>
    <xf numFmtId="4" fontId="0" fillId="6" borderId="0" xfId="0" applyNumberFormat="1" applyFont="1" applyFill="1" applyBorder="1" applyAlignment="1">
      <alignment horizontal="right" indent="2"/>
    </xf>
    <xf numFmtId="167" fontId="46" fillId="6" borderId="0" xfId="51" applyFont="1" applyFill="1" applyBorder="1" applyAlignment="1">
      <alignment vertical="top"/>
    </xf>
    <xf numFmtId="4" fontId="0" fillId="6" borderId="0" xfId="0" applyNumberFormat="1" applyFont="1" applyFill="1" applyBorder="1" applyAlignment="1"/>
    <xf numFmtId="4" fontId="11" fillId="3" borderId="0" xfId="0" applyNumberFormat="1" applyFont="1" applyFill="1" applyBorder="1" applyAlignment="1"/>
    <xf numFmtId="9" fontId="11" fillId="3" borderId="0" xfId="1" applyFont="1" applyFill="1" applyBorder="1" applyAlignment="1">
      <alignment horizontal="left"/>
    </xf>
    <xf numFmtId="4" fontId="11" fillId="3" borderId="0" xfId="0" applyNumberFormat="1" applyFont="1" applyFill="1" applyBorder="1" applyAlignment="1">
      <alignment horizontal="right" indent="2"/>
    </xf>
    <xf numFmtId="9" fontId="0" fillId="5" borderId="0" xfId="0" applyNumberFormat="1" applyFill="1" applyBorder="1" applyAlignment="1">
      <alignment horizontal="center"/>
    </xf>
    <xf numFmtId="4" fontId="0" fillId="5" borderId="0" xfId="0" applyNumberFormat="1" applyFont="1" applyFill="1" applyBorder="1" applyAlignment="1">
      <alignment wrapText="1"/>
    </xf>
    <xf numFmtId="0" fontId="0" fillId="5" borderId="36" xfId="0" applyFill="1" applyBorder="1" applyAlignment="1">
      <alignment horizontal="left" indent="2"/>
    </xf>
    <xf numFmtId="0" fontId="31" fillId="5" borderId="0" xfId="0" applyFont="1" applyFill="1" applyBorder="1" applyAlignment="1">
      <alignment horizontal="left" indent="3"/>
    </xf>
    <xf numFmtId="0" fontId="0" fillId="15" borderId="0" xfId="0" applyFill="1" applyBorder="1" applyAlignment="1">
      <alignment horizontal="left" indent="2"/>
    </xf>
    <xf numFmtId="4" fontId="0" fillId="15" borderId="0" xfId="0" applyNumberFormat="1" applyFill="1" applyBorder="1" applyAlignment="1">
      <alignment horizontal="right" indent="2"/>
    </xf>
    <xf numFmtId="4" fontId="0" fillId="15" borderId="0" xfId="0" applyNumberFormat="1" applyFill="1" applyBorder="1" applyAlignment="1"/>
    <xf numFmtId="4" fontId="14" fillId="15" borderId="10" xfId="0" applyNumberFormat="1" applyFont="1" applyFill="1" applyBorder="1" applyProtection="1">
      <protection locked="0"/>
    </xf>
    <xf numFmtId="4" fontId="14" fillId="15" borderId="0" xfId="0" applyNumberFormat="1" applyFont="1" applyFill="1" applyBorder="1"/>
    <xf numFmtId="4" fontId="15" fillId="15" borderId="10" xfId="0" applyNumberFormat="1" applyFont="1" applyFill="1" applyBorder="1"/>
    <xf numFmtId="0" fontId="31" fillId="15" borderId="0" xfId="0" applyFont="1" applyFill="1" applyBorder="1" applyAlignment="1">
      <alignment horizontal="left" indent="3"/>
    </xf>
    <xf numFmtId="9" fontId="0" fillId="5" borderId="0" xfId="0" applyNumberFormat="1" applyFill="1" applyBorder="1" applyAlignment="1">
      <alignment horizontal="right" indent="2"/>
    </xf>
    <xf numFmtId="0" fontId="0" fillId="5" borderId="0" xfId="0" applyFill="1" applyBorder="1" applyAlignment="1">
      <alignment horizontal="right" indent="2"/>
    </xf>
    <xf numFmtId="10" fontId="46" fillId="5" borderId="0" xfId="1" applyNumberFormat="1" applyFont="1" applyFill="1" applyBorder="1" applyAlignment="1">
      <alignment horizontal="center"/>
    </xf>
    <xf numFmtId="177" fontId="0" fillId="0" borderId="24" xfId="0" applyNumberForma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 wrapText="1"/>
    </xf>
    <xf numFmtId="0" fontId="3" fillId="0" borderId="0" xfId="18" applyFont="1" applyBorder="1" applyAlignment="1"/>
    <xf numFmtId="0" fontId="32" fillId="5" borderId="38" xfId="0" applyFont="1" applyFill="1" applyBorder="1" applyAlignment="1"/>
    <xf numFmtId="0" fontId="0" fillId="5" borderId="38" xfId="0" applyFill="1" applyBorder="1" applyAlignment="1">
      <alignment horizontal="left" indent="2"/>
    </xf>
    <xf numFmtId="4" fontId="31" fillId="6" borderId="38" xfId="0" applyNumberFormat="1" applyFont="1" applyFill="1" applyBorder="1" applyAlignment="1">
      <alignment horizontal="right" indent="2"/>
    </xf>
    <xf numFmtId="4" fontId="31" fillId="6" borderId="38" xfId="0" applyNumberFormat="1" applyFont="1" applyFill="1" applyBorder="1" applyAlignment="1"/>
    <xf numFmtId="0" fontId="32" fillId="5" borderId="2" xfId="0" applyFont="1" applyFill="1" applyBorder="1" applyAlignment="1"/>
    <xf numFmtId="4" fontId="31" fillId="6" borderId="2" xfId="0" applyNumberFormat="1" applyFont="1" applyFill="1" applyBorder="1" applyAlignment="1">
      <alignment horizontal="right" indent="2"/>
    </xf>
    <xf numFmtId="4" fontId="31" fillId="6" borderId="2" xfId="0" applyNumberFormat="1" applyFont="1" applyFill="1" applyBorder="1" applyAlignment="1"/>
    <xf numFmtId="0" fontId="0" fillId="5" borderId="0" xfId="0" applyFill="1" applyBorder="1" applyAlignment="1">
      <alignment horizontal="center"/>
    </xf>
    <xf numFmtId="0" fontId="9" fillId="6" borderId="32" xfId="0" applyFont="1" applyFill="1" applyBorder="1" applyAlignment="1">
      <alignment horizontal="center" vertical="top"/>
    </xf>
    <xf numFmtId="4" fontId="31" fillId="5" borderId="38" xfId="0" applyNumberFormat="1" applyFont="1" applyFill="1" applyBorder="1" applyAlignment="1">
      <alignment horizontal="right"/>
    </xf>
    <xf numFmtId="4" fontId="31" fillId="5" borderId="2" xfId="0" applyNumberFormat="1" applyFont="1" applyFill="1" applyBorder="1" applyAlignment="1">
      <alignment horizontal="right"/>
    </xf>
    <xf numFmtId="4" fontId="31" fillId="5" borderId="0" xfId="0" applyNumberFormat="1" applyFont="1" applyFill="1" applyBorder="1" applyAlignment="1">
      <alignment horizontal="right" indent="2"/>
    </xf>
    <xf numFmtId="4" fontId="0" fillId="6" borderId="0" xfId="0" applyNumberFormat="1" applyFill="1" applyBorder="1" applyAlignment="1">
      <alignment horizontal="right"/>
    </xf>
    <xf numFmtId="0" fontId="9" fillId="5" borderId="0" xfId="0" applyFont="1" applyFill="1" applyBorder="1" applyAlignment="1">
      <alignment vertical="top"/>
    </xf>
    <xf numFmtId="167" fontId="46" fillId="5" borderId="0" xfId="0" applyNumberFormat="1" applyFont="1" applyFill="1" applyBorder="1" applyAlignment="1">
      <alignment vertical="top"/>
    </xf>
    <xf numFmtId="0" fontId="11" fillId="4" borderId="0" xfId="0" applyFont="1" applyFill="1" applyBorder="1" applyAlignment="1">
      <alignment horizontal="left" indent="2"/>
    </xf>
    <xf numFmtId="167" fontId="46" fillId="13" borderId="0" xfId="51" applyFont="1" applyFill="1" applyBorder="1" applyAlignment="1">
      <alignment horizontal="right" vertical="top"/>
    </xf>
    <xf numFmtId="167" fontId="46" fillId="6" borderId="0" xfId="51" applyFont="1" applyFill="1" applyBorder="1" applyAlignment="1">
      <alignment horizontal="right" vertical="top"/>
    </xf>
    <xf numFmtId="167" fontId="46" fillId="15" borderId="0" xfId="51" applyFont="1" applyFill="1" applyBorder="1" applyAlignment="1">
      <alignment horizontal="right" vertical="top"/>
    </xf>
    <xf numFmtId="4" fontId="0" fillId="6" borderId="0" xfId="0" applyNumberFormat="1" applyFont="1" applyFill="1" applyBorder="1" applyAlignment="1">
      <alignment horizontal="right"/>
    </xf>
    <xf numFmtId="4" fontId="0" fillId="7" borderId="0" xfId="0" applyNumberFormat="1" applyFill="1" applyBorder="1" applyAlignment="1">
      <alignment horizontal="right" indent="2"/>
    </xf>
    <xf numFmtId="0" fontId="10" fillId="5" borderId="0" xfId="0" applyFont="1" applyFill="1" applyBorder="1" applyAlignment="1"/>
    <xf numFmtId="0" fontId="0" fillId="15" borderId="38" xfId="0" applyFill="1" applyBorder="1" applyAlignment="1">
      <alignment horizontal="left" indent="3"/>
    </xf>
    <xf numFmtId="0" fontId="0" fillId="15" borderId="38" xfId="0" applyFill="1" applyBorder="1" applyAlignment="1">
      <alignment horizontal="left" indent="2"/>
    </xf>
    <xf numFmtId="4" fontId="0" fillId="15" borderId="38" xfId="0" applyNumberFormat="1" applyFill="1" applyBorder="1" applyAlignment="1">
      <alignment horizontal="right" indent="2"/>
    </xf>
    <xf numFmtId="167" fontId="46" fillId="15" borderId="38" xfId="51" applyFont="1" applyFill="1" applyBorder="1" applyAlignment="1">
      <alignment horizontal="right" vertical="top"/>
    </xf>
    <xf numFmtId="167" fontId="46" fillId="15" borderId="38" xfId="0" applyNumberFormat="1" applyFont="1" applyFill="1" applyBorder="1" applyAlignment="1">
      <alignment vertical="top"/>
    </xf>
    <xf numFmtId="4" fontId="0" fillId="15" borderId="38" xfId="0" applyNumberFormat="1" applyFill="1" applyBorder="1" applyAlignment="1"/>
    <xf numFmtId="0" fontId="32" fillId="5" borderId="39" xfId="0" applyFont="1" applyFill="1" applyBorder="1" applyAlignment="1"/>
    <xf numFmtId="0" fontId="0" fillId="5" borderId="39" xfId="0" applyFill="1" applyBorder="1"/>
    <xf numFmtId="4" fontId="0" fillId="5" borderId="39" xfId="0" applyNumberFormat="1" applyFill="1" applyBorder="1" applyAlignment="1">
      <alignment horizontal="right" indent="2"/>
    </xf>
    <xf numFmtId="4" fontId="0" fillId="6" borderId="39" xfId="0" applyNumberFormat="1" applyFont="1" applyFill="1" applyBorder="1" applyAlignment="1">
      <alignment horizontal="right"/>
    </xf>
    <xf numFmtId="9" fontId="0" fillId="5" borderId="39" xfId="1" applyFont="1" applyFill="1" applyBorder="1"/>
    <xf numFmtId="4" fontId="0" fillId="5" borderId="39" xfId="0" applyNumberFormat="1" applyFill="1" applyBorder="1"/>
    <xf numFmtId="4" fontId="0" fillId="11" borderId="38" xfId="0" applyNumberFormat="1" applyFill="1" applyBorder="1" applyAlignment="1">
      <alignment horizontal="right" indent="2"/>
    </xf>
    <xf numFmtId="167" fontId="46" fillId="6" borderId="38" xfId="51" applyFont="1" applyFill="1" applyBorder="1" applyAlignment="1">
      <alignment horizontal="right" vertical="top"/>
    </xf>
    <xf numFmtId="9" fontId="0" fillId="5" borderId="38" xfId="1" applyFont="1" applyFill="1" applyBorder="1"/>
    <xf numFmtId="4" fontId="0" fillId="5" borderId="38" xfId="0" applyNumberFormat="1" applyFill="1" applyBorder="1"/>
    <xf numFmtId="0" fontId="0" fillId="5" borderId="39" xfId="0" applyFill="1" applyBorder="1" applyAlignment="1">
      <alignment horizontal="left" indent="2"/>
    </xf>
    <xf numFmtId="4" fontId="0" fillId="6" borderId="38" xfId="0" applyNumberFormat="1" applyFont="1" applyFill="1" applyBorder="1" applyAlignment="1">
      <alignment horizontal="right"/>
    </xf>
    <xf numFmtId="4" fontId="0" fillId="6" borderId="38" xfId="0" applyNumberFormat="1" applyFill="1" applyBorder="1" applyAlignment="1">
      <alignment horizontal="right" indent="2"/>
    </xf>
    <xf numFmtId="4" fontId="47" fillId="0" borderId="0" xfId="0" applyNumberFormat="1" applyFont="1" applyFill="1" applyBorder="1" applyAlignment="1">
      <alignment horizontal="left"/>
    </xf>
    <xf numFmtId="4" fontId="10" fillId="0" borderId="0" xfId="0" applyNumberFormat="1" applyFont="1" applyFill="1" applyBorder="1" applyAlignment="1">
      <alignment horizontal="center" vertical="center"/>
    </xf>
    <xf numFmtId="167" fontId="0" fillId="5" borderId="0" xfId="0" applyNumberFormat="1" applyFill="1" applyBorder="1"/>
    <xf numFmtId="167" fontId="0" fillId="15" borderId="0" xfId="0" applyNumberFormat="1" applyFill="1" applyBorder="1"/>
    <xf numFmtId="0" fontId="31" fillId="15" borderId="38" xfId="0" applyFont="1" applyFill="1" applyBorder="1" applyAlignment="1">
      <alignment horizontal="left" indent="3"/>
    </xf>
    <xf numFmtId="167" fontId="0" fillId="15" borderId="38" xfId="0" applyNumberFormat="1" applyFill="1" applyBorder="1"/>
    <xf numFmtId="10" fontId="0" fillId="5" borderId="0" xfId="1" applyNumberFormat="1" applyFont="1" applyFill="1" applyBorder="1" applyAlignment="1">
      <alignment horizontal="center"/>
    </xf>
    <xf numFmtId="10" fontId="0" fillId="5" borderId="38" xfId="1" applyNumberFormat="1" applyFont="1" applyFill="1" applyBorder="1" applyAlignment="1">
      <alignment horizontal="center"/>
    </xf>
    <xf numFmtId="177" fontId="46" fillId="5" borderId="0" xfId="1" applyNumberFormat="1" applyFont="1" applyFill="1" applyBorder="1" applyAlignment="1">
      <alignment horizontal="center"/>
    </xf>
    <xf numFmtId="167" fontId="46" fillId="13" borderId="0" xfId="51" applyFont="1" applyFill="1" applyBorder="1" applyAlignment="1">
      <alignment vertical="top"/>
    </xf>
    <xf numFmtId="0" fontId="31" fillId="5" borderId="39" xfId="0" applyFont="1" applyFill="1" applyBorder="1" applyAlignment="1">
      <alignment horizontal="left" indent="3"/>
    </xf>
    <xf numFmtId="167" fontId="46" fillId="6" borderId="39" xfId="51" applyFont="1" applyFill="1" applyBorder="1" applyAlignment="1">
      <alignment horizontal="right" vertical="top"/>
    </xf>
    <xf numFmtId="0" fontId="0" fillId="6" borderId="0" xfId="0" applyFill="1" applyBorder="1" applyAlignment="1"/>
    <xf numFmtId="0" fontId="31" fillId="5" borderId="38" xfId="0" applyFont="1" applyFill="1" applyBorder="1" applyAlignment="1">
      <alignment horizontal="left" indent="3"/>
    </xf>
    <xf numFmtId="4" fontId="49" fillId="5" borderId="38" xfId="0" applyNumberFormat="1" applyFont="1" applyFill="1" applyBorder="1" applyAlignment="1">
      <alignment wrapText="1"/>
    </xf>
    <xf numFmtId="0" fontId="0" fillId="5" borderId="38" xfId="0" applyFont="1" applyFill="1" applyBorder="1" applyAlignment="1">
      <alignment horizontal="left" indent="2"/>
    </xf>
    <xf numFmtId="4" fontId="0" fillId="6" borderId="38" xfId="0" applyNumberFormat="1" applyFont="1" applyFill="1" applyBorder="1" applyAlignment="1">
      <alignment horizontal="right" indent="2"/>
    </xf>
    <xf numFmtId="4" fontId="0" fillId="5" borderId="38" xfId="0" applyNumberFormat="1" applyFont="1" applyFill="1" applyBorder="1" applyAlignment="1">
      <alignment wrapText="1"/>
    </xf>
    <xf numFmtId="0" fontId="10" fillId="5" borderId="0" xfId="0" applyFont="1" applyFill="1" applyBorder="1" applyAlignment="1">
      <alignment horizontal="right"/>
    </xf>
    <xf numFmtId="4" fontId="0" fillId="5" borderId="0" xfId="0" applyNumberFormat="1" applyFont="1" applyFill="1" applyBorder="1" applyAlignment="1">
      <alignment horizontal="right" indent="2"/>
    </xf>
    <xf numFmtId="177" fontId="0" fillId="13" borderId="24" xfId="1" applyNumberFormat="1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left" indent="2"/>
    </xf>
    <xf numFmtId="4" fontId="0" fillId="13" borderId="0" xfId="0" applyNumberFormat="1" applyFont="1" applyFill="1" applyBorder="1" applyAlignment="1">
      <alignment horizontal="right" indent="2"/>
    </xf>
    <xf numFmtId="49" fontId="10" fillId="16" borderId="0" xfId="0" applyNumberFormat="1" applyFont="1" applyFill="1" applyBorder="1" applyAlignment="1"/>
    <xf numFmtId="177" fontId="0" fillId="0" borderId="24" xfId="1" applyNumberFormat="1" applyFont="1" applyFill="1" applyBorder="1" applyAlignment="1">
      <alignment horizontal="center"/>
    </xf>
    <xf numFmtId="9" fontId="10" fillId="5" borderId="0" xfId="0" applyNumberFormat="1" applyFont="1" applyFill="1" applyBorder="1" applyAlignment="1">
      <alignment horizontal="center"/>
    </xf>
    <xf numFmtId="4" fontId="0" fillId="16" borderId="0" xfId="0" applyNumberFormat="1" applyFill="1" applyBorder="1" applyAlignment="1">
      <alignment horizontal="left" indent="2"/>
    </xf>
    <xf numFmtId="167" fontId="0" fillId="6" borderId="0" xfId="51" applyFont="1" applyFill="1" applyBorder="1"/>
    <xf numFmtId="4" fontId="31" fillId="5" borderId="10" xfId="51" applyNumberFormat="1" applyFont="1" applyFill="1" applyBorder="1" applyAlignment="1"/>
    <xf numFmtId="0" fontId="42" fillId="6" borderId="1" xfId="18" applyFont="1" applyFill="1" applyBorder="1" applyAlignment="1">
      <alignment horizontal="right" vertical="center" indent="1"/>
    </xf>
    <xf numFmtId="0" fontId="37" fillId="9" borderId="8" xfId="18" applyFont="1" applyFill="1" applyBorder="1" applyAlignment="1"/>
    <xf numFmtId="0" fontId="37" fillId="9" borderId="9" xfId="18" applyFont="1" applyFill="1" applyBorder="1" applyAlignment="1"/>
    <xf numFmtId="0" fontId="37" fillId="9" borderId="0" xfId="18" applyFont="1" applyFill="1" applyBorder="1" applyAlignment="1"/>
    <xf numFmtId="0" fontId="37" fillId="9" borderId="2" xfId="18" applyFont="1" applyFill="1" applyBorder="1" applyAlignment="1"/>
    <xf numFmtId="0" fontId="54" fillId="9" borderId="0" xfId="18" applyFont="1" applyFill="1" applyBorder="1" applyAlignment="1">
      <alignment horizontal="centerContinuous" vertical="center"/>
    </xf>
    <xf numFmtId="0" fontId="37" fillId="9" borderId="0" xfId="18" applyFont="1" applyFill="1" applyBorder="1" applyAlignment="1">
      <alignment horizontal="centerContinuous"/>
    </xf>
    <xf numFmtId="0" fontId="37" fillId="9" borderId="3" xfId="18" applyFont="1" applyFill="1" applyBorder="1" applyAlignment="1"/>
    <xf numFmtId="0" fontId="37" fillId="9" borderId="12" xfId="18" applyFont="1" applyFill="1" applyBorder="1" applyAlignment="1"/>
    <xf numFmtId="0" fontId="23" fillId="3" borderId="2" xfId="2" applyFont="1" applyFill="1" applyBorder="1" applyAlignment="1">
      <alignment vertical="top"/>
    </xf>
    <xf numFmtId="0" fontId="23" fillId="3" borderId="12" xfId="2" applyFont="1" applyFill="1" applyBorder="1" applyAlignment="1">
      <alignment vertical="top"/>
    </xf>
    <xf numFmtId="4" fontId="0" fillId="5" borderId="13" xfId="51" applyNumberFormat="1" applyFont="1" applyFill="1" applyBorder="1" applyAlignment="1"/>
    <xf numFmtId="4" fontId="0" fillId="5" borderId="2" xfId="51" applyNumberFormat="1" applyFont="1" applyFill="1" applyBorder="1" applyAlignment="1"/>
    <xf numFmtId="4" fontId="8" fillId="5" borderId="17" xfId="51" applyNumberFormat="1" applyFont="1" applyFill="1" applyBorder="1" applyAlignment="1"/>
    <xf numFmtId="4" fontId="31" fillId="5" borderId="17" xfId="51" applyNumberFormat="1" applyFont="1" applyFill="1" applyBorder="1" applyAlignment="1"/>
    <xf numFmtId="167" fontId="0" fillId="5" borderId="16" xfId="51" applyFont="1" applyFill="1" applyBorder="1" applyAlignment="1">
      <alignment horizontal="center"/>
    </xf>
    <xf numFmtId="167" fontId="0" fillId="5" borderId="17" xfId="51" applyFont="1" applyFill="1" applyBorder="1" applyAlignment="1"/>
    <xf numFmtId="167" fontId="0" fillId="5" borderId="17" xfId="51" applyFont="1" applyFill="1" applyBorder="1" applyAlignment="1">
      <alignment horizontal="left" indent="1"/>
    </xf>
    <xf numFmtId="167" fontId="0" fillId="5" borderId="13" xfId="51" applyFont="1" applyFill="1" applyBorder="1" applyAlignment="1"/>
    <xf numFmtId="177" fontId="0" fillId="6" borderId="1" xfId="1" applyNumberFormat="1" applyFont="1" applyFill="1" applyBorder="1" applyAlignment="1">
      <alignment horizontal="center"/>
    </xf>
    <xf numFmtId="9" fontId="0" fillId="5" borderId="1" xfId="1" applyFont="1" applyFill="1" applyBorder="1" applyAlignment="1">
      <alignment horizontal="center"/>
    </xf>
    <xf numFmtId="0" fontId="0" fillId="0" borderId="14" xfId="0" applyFill="1" applyBorder="1"/>
    <xf numFmtId="4" fontId="46" fillId="0" borderId="4" xfId="0" applyNumberFormat="1" applyFont="1" applyFill="1" applyBorder="1" applyAlignment="1"/>
    <xf numFmtId="0" fontId="27" fillId="5" borderId="14" xfId="0" applyFont="1" applyFill="1" applyBorder="1" applyAlignment="1">
      <alignment horizontal="right" vertical="top"/>
    </xf>
    <xf numFmtId="4" fontId="49" fillId="5" borderId="11" xfId="0" applyNumberFormat="1" applyFont="1" applyFill="1" applyBorder="1" applyAlignment="1">
      <alignment horizontal="right" wrapText="1"/>
    </xf>
    <xf numFmtId="9" fontId="0" fillId="7" borderId="12" xfId="1" applyFont="1" applyFill="1" applyBorder="1"/>
    <xf numFmtId="177" fontId="0" fillId="6" borderId="1" xfId="1" applyNumberFormat="1" applyFont="1" applyFill="1" applyBorder="1" applyAlignment="1">
      <alignment horizontal="right" indent="4"/>
    </xf>
    <xf numFmtId="4" fontId="0" fillId="5" borderId="11" xfId="0" applyNumberFormat="1" applyFont="1" applyFill="1" applyBorder="1" applyAlignment="1">
      <alignment horizontal="right" indent="2"/>
    </xf>
    <xf numFmtId="4" fontId="0" fillId="5" borderId="2" xfId="0" applyNumberFormat="1" applyFont="1" applyFill="1" applyBorder="1" applyAlignment="1">
      <alignment horizontal="right" indent="2"/>
    </xf>
    <xf numFmtId="4" fontId="0" fillId="5" borderId="2" xfId="0" applyNumberFormat="1" applyFill="1" applyBorder="1" applyAlignment="1">
      <alignment horizontal="right" indent="2"/>
    </xf>
    <xf numFmtId="167" fontId="46" fillId="6" borderId="2" xfId="51" applyFont="1" applyFill="1" applyBorder="1" applyAlignment="1">
      <alignment horizontal="right" vertical="top"/>
    </xf>
    <xf numFmtId="4" fontId="0" fillId="5" borderId="43" xfId="0" applyNumberFormat="1" applyFill="1" applyBorder="1" applyAlignment="1">
      <alignment horizontal="right" indent="2"/>
    </xf>
    <xf numFmtId="4" fontId="0" fillId="5" borderId="11" xfId="0" applyNumberFormat="1" applyFill="1" applyBorder="1" applyAlignment="1">
      <alignment horizontal="right" indent="2"/>
    </xf>
    <xf numFmtId="4" fontId="0" fillId="0" borderId="2" xfId="0" applyNumberFormat="1" applyFill="1" applyBorder="1" applyAlignment="1">
      <alignment horizontal="right" indent="2"/>
    </xf>
    <xf numFmtId="167" fontId="46" fillId="6" borderId="2" xfId="51" applyFont="1" applyFill="1" applyBorder="1" applyAlignment="1">
      <alignment vertical="top"/>
    </xf>
    <xf numFmtId="0" fontId="15" fillId="5" borderId="0" xfId="0" applyFont="1" applyFill="1" applyBorder="1" applyAlignment="1">
      <alignment horizontal="right" indent="1"/>
    </xf>
    <xf numFmtId="9" fontId="16" fillId="5" borderId="1" xfId="1" applyFont="1" applyFill="1" applyBorder="1" applyAlignment="1"/>
    <xf numFmtId="0" fontId="50" fillId="4" borderId="44" xfId="0" applyFont="1" applyFill="1" applyBorder="1" applyAlignment="1">
      <alignment horizontal="left" indent="3"/>
    </xf>
    <xf numFmtId="0" fontId="11" fillId="4" borderId="45" xfId="0" applyFont="1" applyFill="1" applyBorder="1" applyAlignment="1">
      <alignment horizontal="left" indent="3"/>
    </xf>
    <xf numFmtId="0" fontId="11" fillId="4" borderId="45" xfId="0" applyFont="1" applyFill="1" applyBorder="1" applyAlignment="1">
      <alignment horizontal="left" indent="2"/>
    </xf>
    <xf numFmtId="4" fontId="0" fillId="4" borderId="45" xfId="0" applyNumberFormat="1" applyFill="1" applyBorder="1" applyAlignment="1">
      <alignment horizontal="left" indent="2"/>
    </xf>
    <xf numFmtId="0" fontId="9" fillId="4" borderId="46" xfId="2" applyFont="1" applyFill="1" applyBorder="1" applyAlignment="1">
      <alignment horizontal="center" vertical="top"/>
    </xf>
    <xf numFmtId="0" fontId="9" fillId="4" borderId="47" xfId="2" applyFont="1" applyFill="1" applyBorder="1" applyAlignment="1">
      <alignment horizontal="center" vertical="top"/>
    </xf>
    <xf numFmtId="0" fontId="9" fillId="3" borderId="45" xfId="0" applyFont="1" applyFill="1" applyBorder="1" applyAlignment="1">
      <alignment vertical="top"/>
    </xf>
    <xf numFmtId="4" fontId="0" fillId="3" borderId="45" xfId="0" applyNumberFormat="1" applyFill="1" applyBorder="1" applyAlignment="1"/>
    <xf numFmtId="4" fontId="0" fillId="3" borderId="48" xfId="0" applyNumberFormat="1" applyFill="1" applyBorder="1" applyAlignment="1"/>
    <xf numFmtId="0" fontId="0" fillId="4" borderId="49" xfId="0" applyFill="1" applyBorder="1"/>
    <xf numFmtId="4" fontId="0" fillId="3" borderId="50" xfId="0" applyNumberFormat="1" applyFill="1" applyBorder="1" applyAlignment="1"/>
    <xf numFmtId="0" fontId="32" fillId="5" borderId="51" xfId="0" applyFont="1" applyFill="1" applyBorder="1" applyAlignment="1"/>
    <xf numFmtId="4" fontId="46" fillId="5" borderId="50" xfId="0" applyNumberFormat="1" applyFont="1" applyFill="1" applyBorder="1" applyAlignment="1"/>
    <xf numFmtId="4" fontId="49" fillId="5" borderId="50" xfId="0" applyNumberFormat="1" applyFont="1" applyFill="1" applyBorder="1" applyAlignment="1">
      <alignment wrapText="1"/>
    </xf>
    <xf numFmtId="0" fontId="32" fillId="15" borderId="51" xfId="0" applyFont="1" applyFill="1" applyBorder="1" applyAlignment="1"/>
    <xf numFmtId="4" fontId="49" fillId="15" borderId="50" xfId="0" applyNumberFormat="1" applyFont="1" applyFill="1" applyBorder="1" applyAlignment="1">
      <alignment wrapText="1"/>
    </xf>
    <xf numFmtId="4" fontId="49" fillId="5" borderId="50" xfId="0" applyNumberFormat="1" applyFont="1" applyFill="1" applyBorder="1" applyAlignment="1">
      <alignment horizontal="center" wrapText="1"/>
    </xf>
    <xf numFmtId="0" fontId="32" fillId="15" borderId="52" xfId="0" applyFont="1" applyFill="1" applyBorder="1" applyAlignment="1"/>
    <xf numFmtId="4" fontId="49" fillId="15" borderId="53" xfId="0" applyNumberFormat="1" applyFont="1" applyFill="1" applyBorder="1" applyAlignment="1">
      <alignment horizontal="center" wrapText="1"/>
    </xf>
    <xf numFmtId="0" fontId="52" fillId="5" borderId="54" xfId="0" applyFont="1" applyFill="1" applyBorder="1" applyAlignment="1">
      <alignment horizontal="left" indent="3"/>
    </xf>
    <xf numFmtId="4" fontId="49" fillId="5" borderId="55" xfId="0" applyNumberFormat="1" applyFont="1" applyFill="1" applyBorder="1" applyAlignment="1">
      <alignment horizontal="center" wrapText="1"/>
    </xf>
    <xf numFmtId="0" fontId="52" fillId="5" borderId="51" xfId="0" applyFont="1" applyFill="1" applyBorder="1" applyAlignment="1">
      <alignment horizontal="left" indent="3"/>
    </xf>
    <xf numFmtId="0" fontId="32" fillId="5" borderId="52" xfId="0" applyFont="1" applyFill="1" applyBorder="1" applyAlignment="1"/>
    <xf numFmtId="0" fontId="32" fillId="0" borderId="56" xfId="0" applyFont="1" applyFill="1" applyBorder="1" applyAlignment="1"/>
    <xf numFmtId="4" fontId="49" fillId="5" borderId="53" xfId="0" applyNumberFormat="1" applyFont="1" applyFill="1" applyBorder="1" applyAlignment="1">
      <alignment horizontal="center" wrapText="1"/>
    </xf>
    <xf numFmtId="4" fontId="11" fillId="3" borderId="50" xfId="0" applyNumberFormat="1" applyFont="1" applyFill="1" applyBorder="1"/>
    <xf numFmtId="0" fontId="0" fillId="5" borderId="50" xfId="0" applyFill="1" applyBorder="1"/>
    <xf numFmtId="167" fontId="49" fillId="5" borderId="50" xfId="51" applyFont="1" applyFill="1" applyBorder="1" applyAlignment="1">
      <alignment horizontal="center" wrapText="1"/>
    </xf>
    <xf numFmtId="167" fontId="49" fillId="6" borderId="50" xfId="51" applyFont="1" applyFill="1" applyBorder="1" applyAlignment="1">
      <alignment horizontal="center" wrapText="1"/>
    </xf>
    <xf numFmtId="0" fontId="48" fillId="3" borderId="51" xfId="0" applyFont="1" applyFill="1" applyBorder="1" applyAlignment="1">
      <alignment horizontal="left" indent="3"/>
    </xf>
    <xf numFmtId="4" fontId="11" fillId="3" borderId="50" xfId="0" applyNumberFormat="1" applyFont="1" applyFill="1" applyBorder="1" applyAlignment="1">
      <alignment horizontal="left" indent="2"/>
    </xf>
    <xf numFmtId="4" fontId="0" fillId="16" borderId="50" xfId="0" applyNumberFormat="1" applyFill="1" applyBorder="1" applyAlignment="1">
      <alignment horizontal="left" indent="2"/>
    </xf>
    <xf numFmtId="0" fontId="32" fillId="15" borderId="59" xfId="0" applyFont="1" applyFill="1" applyBorder="1" applyAlignment="1"/>
    <xf numFmtId="0" fontId="32" fillId="15" borderId="60" xfId="0" applyFont="1" applyFill="1" applyBorder="1" applyAlignment="1"/>
    <xf numFmtId="0" fontId="0" fillId="15" borderId="60" xfId="0" applyFill="1" applyBorder="1" applyAlignment="1">
      <alignment horizontal="left" indent="2"/>
    </xf>
    <xf numFmtId="4" fontId="0" fillId="15" borderId="60" xfId="0" applyNumberFormat="1" applyFill="1" applyBorder="1" applyAlignment="1">
      <alignment horizontal="right" indent="2"/>
    </xf>
    <xf numFmtId="4" fontId="0" fillId="16" borderId="60" xfId="0" applyNumberFormat="1" applyFill="1" applyBorder="1" applyAlignment="1">
      <alignment horizontal="left" indent="2"/>
    </xf>
    <xf numFmtId="4" fontId="0" fillId="16" borderId="61" xfId="0" applyNumberFormat="1" applyFill="1" applyBorder="1" applyAlignment="1">
      <alignment horizontal="left" indent="2"/>
    </xf>
    <xf numFmtId="9" fontId="11" fillId="4" borderId="45" xfId="1" applyFont="1" applyFill="1" applyBorder="1" applyAlignment="1">
      <alignment horizontal="left" indent="2"/>
    </xf>
    <xf numFmtId="0" fontId="9" fillId="3" borderId="45" xfId="0" applyFont="1" applyFill="1" applyBorder="1" applyAlignment="1">
      <alignment horizontal="center" vertical="top"/>
    </xf>
    <xf numFmtId="0" fontId="0" fillId="5" borderId="51" xfId="0" applyFont="1" applyFill="1" applyBorder="1" applyAlignment="1">
      <alignment horizontal="left" indent="3"/>
    </xf>
    <xf numFmtId="4" fontId="0" fillId="5" borderId="50" xfId="0" applyNumberFormat="1" applyFill="1" applyBorder="1" applyAlignment="1"/>
    <xf numFmtId="0" fontId="0" fillId="15" borderId="52" xfId="0" applyFont="1" applyFill="1" applyBorder="1" applyAlignment="1">
      <alignment horizontal="left" indent="3"/>
    </xf>
    <xf numFmtId="4" fontId="0" fillId="15" borderId="53" xfId="0" applyNumberFormat="1" applyFill="1" applyBorder="1" applyAlignment="1"/>
    <xf numFmtId="0" fontId="12" fillId="5" borderId="54" xfId="0" applyFont="1" applyFill="1" applyBorder="1" applyAlignment="1">
      <alignment horizontal="left" indent="3"/>
    </xf>
    <xf numFmtId="4" fontId="0" fillId="5" borderId="55" xfId="0" applyNumberFormat="1" applyFill="1" applyBorder="1"/>
    <xf numFmtId="0" fontId="12" fillId="5" borderId="51" xfId="0" applyFont="1" applyFill="1" applyBorder="1" applyAlignment="1">
      <alignment horizontal="left" indent="3"/>
    </xf>
    <xf numFmtId="4" fontId="0" fillId="5" borderId="50" xfId="0" applyNumberFormat="1" applyFill="1" applyBorder="1"/>
    <xf numFmtId="4" fontId="0" fillId="5" borderId="53" xfId="0" applyNumberFormat="1" applyFill="1" applyBorder="1"/>
    <xf numFmtId="0" fontId="0" fillId="5" borderId="55" xfId="0" applyFill="1" applyBorder="1"/>
    <xf numFmtId="4" fontId="0" fillId="15" borderId="60" xfId="0" applyNumberFormat="1" applyFill="1" applyBorder="1" applyAlignment="1">
      <alignment horizontal="left" indent="2"/>
    </xf>
    <xf numFmtId="4" fontId="0" fillId="15" borderId="60" xfId="0" applyNumberFormat="1" applyFill="1" applyBorder="1" applyAlignment="1"/>
    <xf numFmtId="4" fontId="0" fillId="4" borderId="62" xfId="0" applyNumberFormat="1" applyFill="1" applyBorder="1" applyAlignment="1">
      <alignment horizontal="left" indent="2"/>
    </xf>
    <xf numFmtId="4" fontId="0" fillId="5" borderId="64" xfId="0" applyNumberFormat="1" applyFill="1" applyBorder="1" applyAlignment="1"/>
    <xf numFmtId="4" fontId="31" fillId="5" borderId="50" xfId="0" applyNumberFormat="1" applyFont="1" applyFill="1" applyBorder="1" applyAlignment="1">
      <alignment horizontal="right"/>
    </xf>
    <xf numFmtId="0" fontId="10" fillId="5" borderId="51" xfId="0" applyFont="1" applyFill="1" applyBorder="1" applyAlignment="1"/>
    <xf numFmtId="0" fontId="0" fillId="5" borderId="51" xfId="0" applyFill="1" applyBorder="1" applyAlignment="1"/>
    <xf numFmtId="0" fontId="10" fillId="5" borderId="52" xfId="0" applyFont="1" applyFill="1" applyBorder="1" applyAlignment="1"/>
    <xf numFmtId="4" fontId="31" fillId="5" borderId="53" xfId="0" applyNumberFormat="1" applyFont="1" applyFill="1" applyBorder="1" applyAlignment="1">
      <alignment horizontal="right"/>
    </xf>
    <xf numFmtId="0" fontId="10" fillId="5" borderId="49" xfId="0" applyFont="1" applyFill="1" applyBorder="1" applyAlignment="1"/>
    <xf numFmtId="4" fontId="31" fillId="5" borderId="58" xfId="0" applyNumberFormat="1" applyFont="1" applyFill="1" applyBorder="1" applyAlignment="1">
      <alignment horizontal="right"/>
    </xf>
    <xf numFmtId="4" fontId="11" fillId="3" borderId="50" xfId="0" applyNumberFormat="1" applyFont="1" applyFill="1" applyBorder="1" applyAlignment="1">
      <alignment horizontal="right"/>
    </xf>
    <xf numFmtId="4" fontId="0" fillId="5" borderId="50" xfId="0" applyNumberFormat="1" applyFill="1" applyBorder="1" applyAlignment="1">
      <alignment horizontal="right"/>
    </xf>
    <xf numFmtId="4" fontId="0" fillId="6" borderId="50" xfId="0" applyNumberFormat="1" applyFill="1" applyBorder="1" applyAlignment="1">
      <alignment horizontal="right"/>
    </xf>
    <xf numFmtId="9" fontId="11" fillId="3" borderId="50" xfId="1" applyFont="1" applyFill="1" applyBorder="1" applyAlignment="1">
      <alignment horizontal="left"/>
    </xf>
    <xf numFmtId="0" fontId="0" fillId="15" borderId="60" xfId="0" applyFill="1" applyBorder="1" applyAlignment="1">
      <alignment horizontal="center"/>
    </xf>
    <xf numFmtId="0" fontId="18" fillId="4" borderId="1" xfId="0" applyFont="1" applyFill="1" applyBorder="1" applyAlignment="1">
      <alignment horizontal="right" vertical="center" indent="1"/>
    </xf>
    <xf numFmtId="0" fontId="18" fillId="4" borderId="0" xfId="0" applyFont="1" applyFill="1" applyBorder="1" applyAlignment="1">
      <alignment horizontal="right" vertical="center" indent="1"/>
    </xf>
    <xf numFmtId="166" fontId="46" fillId="0" borderId="24" xfId="52" applyFont="1" applyFill="1" applyBorder="1" applyAlignment="1">
      <alignment horizontal="left" indent="2"/>
    </xf>
    <xf numFmtId="0" fontId="37" fillId="0" borderId="7" xfId="18" applyFont="1" applyBorder="1" applyAlignment="1">
      <alignment horizontal="left"/>
    </xf>
    <xf numFmtId="0" fontId="37" fillId="2" borderId="9" xfId="18" applyFont="1" applyFill="1" applyBorder="1" applyAlignment="1"/>
    <xf numFmtId="0" fontId="37" fillId="0" borderId="10" xfId="18" applyFont="1" applyBorder="1" applyAlignment="1">
      <alignment horizontal="left"/>
    </xf>
    <xf numFmtId="0" fontId="37" fillId="2" borderId="3" xfId="18" applyFont="1" applyFill="1" applyBorder="1" applyAlignment="1"/>
    <xf numFmtId="0" fontId="37" fillId="2" borderId="10" xfId="18" applyFont="1" applyFill="1" applyBorder="1" applyAlignment="1"/>
    <xf numFmtId="0" fontId="37" fillId="2" borderId="11" xfId="18" applyFont="1" applyFill="1" applyBorder="1" applyAlignment="1"/>
    <xf numFmtId="0" fontId="37" fillId="2" borderId="2" xfId="18" applyFont="1" applyFill="1" applyBorder="1" applyAlignment="1"/>
    <xf numFmtId="0" fontId="37" fillId="2" borderId="12" xfId="18" applyFont="1" applyFill="1" applyBorder="1" applyAlignment="1"/>
    <xf numFmtId="0" fontId="11" fillId="3" borderId="31" xfId="0" applyFont="1" applyFill="1" applyBorder="1" applyAlignment="1">
      <alignment horizontal="left"/>
    </xf>
    <xf numFmtId="4" fontId="0" fillId="0" borderId="17" xfId="51" applyNumberFormat="1" applyFont="1" applyFill="1" applyBorder="1" applyAlignment="1"/>
    <xf numFmtId="4" fontId="0" fillId="0" borderId="0" xfId="51" applyNumberFormat="1" applyFont="1" applyFill="1" applyBorder="1" applyAlignment="1"/>
    <xf numFmtId="4" fontId="0" fillId="0" borderId="10" xfId="51" applyNumberFormat="1" applyFont="1" applyFill="1" applyBorder="1" applyAlignment="1"/>
    <xf numFmtId="4" fontId="46" fillId="15" borderId="10" xfId="51" applyNumberFormat="1" applyFont="1" applyFill="1" applyBorder="1" applyAlignment="1"/>
    <xf numFmtId="4" fontId="46" fillId="15" borderId="17" xfId="51" applyNumberFormat="1" applyFont="1" applyFill="1" applyBorder="1" applyAlignment="1"/>
    <xf numFmtId="4" fontId="46" fillId="15" borderId="0" xfId="51" applyNumberFormat="1" applyFont="1" applyFill="1" applyBorder="1" applyAlignment="1"/>
    <xf numFmtId="4" fontId="46" fillId="15" borderId="10" xfId="0" applyNumberFormat="1" applyFont="1" applyFill="1" applyBorder="1" applyProtection="1">
      <protection locked="0"/>
    </xf>
    <xf numFmtId="4" fontId="0" fillId="11" borderId="17" xfId="0" applyNumberFormat="1" applyFill="1" applyBorder="1"/>
    <xf numFmtId="166" fontId="15" fillId="0" borderId="0" xfId="52" applyFont="1" applyFill="1" applyBorder="1"/>
    <xf numFmtId="166" fontId="15" fillId="5" borderId="0" xfId="52" applyFont="1" applyFill="1" applyBorder="1"/>
    <xf numFmtId="4" fontId="15" fillId="4" borderId="0" xfId="0" applyNumberFormat="1" applyFont="1" applyFill="1" applyBorder="1" applyAlignment="1">
      <alignment horizontal="centerContinuous"/>
    </xf>
    <xf numFmtId="9" fontId="0" fillId="5" borderId="0" xfId="1" applyFont="1" applyFill="1"/>
    <xf numFmtId="4" fontId="9" fillId="4" borderId="0" xfId="0" applyNumberFormat="1" applyFont="1" applyFill="1" applyBorder="1" applyAlignment="1">
      <alignment horizontal="center"/>
    </xf>
    <xf numFmtId="0" fontId="0" fillId="5" borderId="3" xfId="0" applyFill="1" applyBorder="1"/>
    <xf numFmtId="4" fontId="11" fillId="4" borderId="0" xfId="0" applyNumberFormat="1" applyFont="1" applyFill="1" applyBorder="1" applyAlignment="1">
      <alignment horizontal="centerContinuous"/>
    </xf>
    <xf numFmtId="4" fontId="11" fillId="4" borderId="0" xfId="0" applyNumberFormat="1" applyFont="1" applyFill="1" applyBorder="1" applyAlignment="1">
      <alignment horizontal="center"/>
    </xf>
    <xf numFmtId="4" fontId="9" fillId="4" borderId="0" xfId="0" applyNumberFormat="1" applyFont="1" applyFill="1" applyBorder="1" applyAlignment="1">
      <alignment horizontal="centerContinuous"/>
    </xf>
    <xf numFmtId="4" fontId="11" fillId="5" borderId="0" xfId="0" applyNumberFormat="1" applyFont="1" applyFill="1" applyBorder="1" applyAlignment="1">
      <alignment horizontal="centerContinuous"/>
    </xf>
    <xf numFmtId="4" fontId="15" fillId="5" borderId="0" xfId="0" applyNumberFormat="1" applyFont="1" applyFill="1" applyBorder="1" applyAlignment="1">
      <alignment horizontal="centerContinuous"/>
    </xf>
    <xf numFmtId="9" fontId="31" fillId="5" borderId="0" xfId="1" applyFont="1" applyFill="1" applyBorder="1"/>
    <xf numFmtId="4" fontId="57" fillId="5" borderId="2" xfId="0" applyNumberFormat="1" applyFont="1" applyFill="1" applyBorder="1"/>
    <xf numFmtId="4" fontId="57" fillId="5" borderId="2" xfId="0" applyNumberFormat="1" applyFont="1" applyFill="1" applyBorder="1" applyAlignment="1">
      <alignment horizontal="left"/>
    </xf>
    <xf numFmtId="4" fontId="9" fillId="5" borderId="0" xfId="0" applyNumberFormat="1" applyFont="1" applyFill="1" applyBorder="1" applyAlignment="1">
      <alignment horizontal="centerContinuous"/>
    </xf>
    <xf numFmtId="0" fontId="11" fillId="5" borderId="0" xfId="0" applyFont="1" applyFill="1" applyAlignment="1">
      <alignment horizontal="center"/>
    </xf>
    <xf numFmtId="40" fontId="15" fillId="5" borderId="0" xfId="0" applyNumberFormat="1" applyFont="1" applyFill="1" applyBorder="1"/>
    <xf numFmtId="4" fontId="31" fillId="5" borderId="3" xfId="0" applyNumberFormat="1" applyFont="1" applyFill="1" applyBorder="1"/>
    <xf numFmtId="4" fontId="31" fillId="5" borderId="0" xfId="0" applyNumberFormat="1" applyFont="1" applyFill="1" applyBorder="1" applyAlignment="1">
      <alignment horizontal="left" indent="1"/>
    </xf>
    <xf numFmtId="0" fontId="11" fillId="4" borderId="0" xfId="0" applyFont="1" applyFill="1" applyBorder="1" applyAlignment="1">
      <alignment horizontal="centerContinuous"/>
    </xf>
    <xf numFmtId="4" fontId="9" fillId="4" borderId="0" xfId="0" applyNumberFormat="1" applyFont="1" applyFill="1" applyBorder="1" applyAlignment="1">
      <alignment horizontal="left" indent="1"/>
    </xf>
    <xf numFmtId="0" fontId="11" fillId="4" borderId="0" xfId="0" applyFont="1" applyFill="1" applyBorder="1"/>
    <xf numFmtId="0" fontId="31" fillId="0" borderId="0" xfId="0" applyFont="1" applyFill="1" applyBorder="1"/>
    <xf numFmtId="0" fontId="31" fillId="5" borderId="0" xfId="0" applyFont="1" applyFill="1" applyBorder="1"/>
    <xf numFmtId="40" fontId="31" fillId="5" borderId="0" xfId="0" applyNumberFormat="1" applyFont="1" applyFill="1" applyBorder="1"/>
    <xf numFmtId="4" fontId="57" fillId="5" borderId="0" xfId="0" applyNumberFormat="1" applyFont="1" applyFill="1" applyBorder="1"/>
    <xf numFmtId="4" fontId="31" fillId="5" borderId="0" xfId="0" applyNumberFormat="1" applyFont="1" applyFill="1" applyBorder="1" applyAlignment="1">
      <alignment horizontal="right" indent="1"/>
    </xf>
    <xf numFmtId="0" fontId="0" fillId="7" borderId="4" xfId="0" applyNumberFormat="1" applyFont="1" applyFill="1" applyBorder="1" applyAlignment="1">
      <alignment wrapText="1"/>
    </xf>
    <xf numFmtId="0" fontId="27" fillId="6" borderId="17" xfId="2" applyFont="1" applyFill="1" applyBorder="1" applyAlignment="1">
      <alignment horizontal="center" vertical="top"/>
    </xf>
    <xf numFmtId="0" fontId="24" fillId="6" borderId="0" xfId="0" applyFont="1" applyFill="1" applyBorder="1" applyAlignment="1">
      <alignment vertical="center"/>
    </xf>
    <xf numFmtId="0" fontId="24" fillId="6" borderId="0" xfId="0" applyFont="1" applyFill="1" applyBorder="1" applyAlignment="1">
      <alignment horizontal="center" vertical="center"/>
    </xf>
    <xf numFmtId="0" fontId="9" fillId="6" borderId="17" xfId="2" applyFont="1" applyFill="1" applyBorder="1" applyAlignment="1">
      <alignment horizontal="center" vertical="top"/>
    </xf>
    <xf numFmtId="0" fontId="9" fillId="6" borderId="10" xfId="0" applyFont="1" applyFill="1" applyBorder="1" applyAlignment="1">
      <alignment horizontal="center" vertical="top"/>
    </xf>
    <xf numFmtId="168" fontId="14" fillId="6" borderId="10" xfId="0" applyNumberFormat="1" applyFont="1" applyFill="1" applyBorder="1" applyAlignment="1">
      <alignment horizontal="right" indent="2"/>
    </xf>
    <xf numFmtId="0" fontId="14" fillId="6" borderId="12" xfId="0" applyNumberFormat="1" applyFont="1" applyFill="1" applyBorder="1" applyAlignment="1"/>
    <xf numFmtId="0" fontId="9" fillId="6" borderId="11" xfId="0" applyFont="1" applyFill="1" applyBorder="1" applyAlignment="1">
      <alignment horizontal="center" vertical="top"/>
    </xf>
    <xf numFmtId="0" fontId="9" fillId="6" borderId="2" xfId="0" applyFont="1" applyFill="1" applyBorder="1" applyAlignment="1">
      <alignment horizontal="center" vertical="top"/>
    </xf>
    <xf numFmtId="0" fontId="9" fillId="6" borderId="12" xfId="0" applyFont="1" applyFill="1" applyBorder="1" applyAlignment="1">
      <alignment horizontal="center" vertical="top"/>
    </xf>
    <xf numFmtId="4" fontId="14" fillId="6" borderId="12" xfId="0" applyNumberFormat="1" applyFont="1" applyFill="1" applyBorder="1" applyAlignment="1"/>
    <xf numFmtId="178" fontId="0" fillId="7" borderId="12" xfId="1" applyNumberFormat="1" applyFont="1" applyFill="1" applyBorder="1"/>
    <xf numFmtId="9" fontId="0" fillId="5" borderId="0" xfId="1" applyNumberFormat="1" applyFont="1" applyFill="1" applyBorder="1" applyAlignment="1">
      <alignment horizontal="right"/>
    </xf>
    <xf numFmtId="9" fontId="0" fillId="6" borderId="0" xfId="1" applyNumberFormat="1" applyFont="1" applyFill="1" applyBorder="1" applyAlignment="1">
      <alignment horizontal="right"/>
    </xf>
    <xf numFmtId="167" fontId="11" fillId="3" borderId="0" xfId="51" applyFont="1" applyFill="1" applyBorder="1" applyAlignment="1">
      <alignment horizontal="center" wrapText="1"/>
    </xf>
    <xf numFmtId="167" fontId="0" fillId="6" borderId="0" xfId="51" applyFont="1" applyFill="1" applyBorder="1" applyAlignment="1">
      <alignment horizontal="left" indent="2"/>
    </xf>
    <xf numFmtId="167" fontId="0" fillId="6" borderId="50" xfId="51" applyFont="1" applyFill="1" applyBorder="1"/>
    <xf numFmtId="167" fontId="0" fillId="6" borderId="50" xfId="51" applyFont="1" applyFill="1" applyBorder="1" applyAlignment="1">
      <alignment horizontal="left" indent="2"/>
    </xf>
    <xf numFmtId="10" fontId="0" fillId="5" borderId="0" xfId="0" applyNumberFormat="1" applyFill="1" applyBorder="1"/>
    <xf numFmtId="10" fontId="0" fillId="5" borderId="0" xfId="1" applyNumberFormat="1" applyFont="1" applyFill="1" applyBorder="1"/>
    <xf numFmtId="10" fontId="0" fillId="5" borderId="0" xfId="0" applyNumberFormat="1" applyFont="1" applyFill="1" applyBorder="1" applyAlignment="1">
      <alignment wrapText="1"/>
    </xf>
    <xf numFmtId="10" fontId="0" fillId="6" borderId="0" xfId="0" applyNumberFormat="1" applyFont="1" applyFill="1" applyBorder="1" applyAlignment="1">
      <alignment wrapText="1"/>
    </xf>
    <xf numFmtId="0" fontId="0" fillId="0" borderId="24" xfId="0" applyFill="1" applyBorder="1" applyAlignment="1">
      <alignment horizontal="left" indent="2"/>
    </xf>
    <xf numFmtId="0" fontId="38" fillId="0" borderId="0" xfId="18" applyFont="1" applyBorder="1" applyAlignment="1">
      <alignment horizontal="center" wrapText="1"/>
    </xf>
    <xf numFmtId="0" fontId="38" fillId="0" borderId="0" xfId="18" applyFont="1" applyBorder="1" applyAlignment="1">
      <alignment horizontal="center"/>
    </xf>
    <xf numFmtId="0" fontId="37" fillId="2" borderId="6" xfId="18" applyFont="1" applyFill="1" applyBorder="1" applyAlignment="1">
      <alignment horizontal="left" indent="1"/>
    </xf>
    <xf numFmtId="0" fontId="37" fillId="2" borderId="4" xfId="18" applyFont="1" applyFill="1" applyBorder="1" applyAlignment="1">
      <alignment horizontal="left" indent="1"/>
    </xf>
    <xf numFmtId="0" fontId="2" fillId="0" borderId="0" xfId="18" applyFont="1" applyBorder="1" applyAlignment="1"/>
    <xf numFmtId="0" fontId="41" fillId="0" borderId="0" xfId="18" applyFont="1" applyFill="1" applyBorder="1" applyAlignment="1">
      <alignment horizontal="center" vertical="center"/>
    </xf>
    <xf numFmtId="0" fontId="37" fillId="0" borderId="0" xfId="18" applyFont="1" applyBorder="1" applyAlignment="1">
      <alignment horizontal="center" vertical="center"/>
    </xf>
    <xf numFmtId="0" fontId="37" fillId="0" borderId="0" xfId="18" applyFont="1" applyBorder="1" applyAlignment="1">
      <alignment horizontal="center" vertical="center" wrapText="1"/>
    </xf>
    <xf numFmtId="0" fontId="37" fillId="0" borderId="0" xfId="18" applyFont="1" applyBorder="1" applyAlignment="1"/>
    <xf numFmtId="0" fontId="37" fillId="2" borderId="0" xfId="18" applyFont="1" applyFill="1" applyAlignment="1"/>
    <xf numFmtId="0" fontId="37" fillId="2" borderId="0" xfId="18" applyFont="1" applyFill="1" applyBorder="1" applyAlignment="1"/>
    <xf numFmtId="0" fontId="37" fillId="0" borderId="0" xfId="18" applyFont="1" applyBorder="1" applyAlignment="1">
      <alignment horizontal="right"/>
    </xf>
    <xf numFmtId="0" fontId="2" fillId="0" borderId="0" xfId="18" applyFont="1" applyBorder="1" applyAlignment="1"/>
    <xf numFmtId="176" fontId="37" fillId="2" borderId="0" xfId="18" applyNumberFormat="1" applyFont="1" applyFill="1" applyAlignment="1"/>
    <xf numFmtId="0" fontId="40" fillId="0" borderId="2" xfId="18" applyFont="1" applyFill="1" applyBorder="1" applyAlignment="1">
      <alignment horizontal="center"/>
    </xf>
    <xf numFmtId="0" fontId="37" fillId="0" borderId="0" xfId="18" applyFont="1" applyFill="1" applyBorder="1" applyAlignment="1">
      <alignment horizontal="center"/>
    </xf>
    <xf numFmtId="0" fontId="56" fillId="5" borderId="14" xfId="18" applyFont="1" applyFill="1" applyBorder="1" applyAlignment="1">
      <alignment horizontal="center"/>
    </xf>
    <xf numFmtId="179" fontId="14" fillId="0" borderId="12" xfId="0" applyNumberFormat="1" applyFont="1" applyFill="1" applyBorder="1" applyAlignment="1"/>
    <xf numFmtId="179" fontId="14" fillId="0" borderId="4" xfId="0" applyNumberFormat="1" applyFont="1" applyFill="1" applyBorder="1" applyAlignment="1"/>
    <xf numFmtId="0" fontId="59" fillId="18" borderId="0" xfId="18" applyFont="1" applyFill="1" applyAlignment="1"/>
    <xf numFmtId="0" fontId="59" fillId="2" borderId="0" xfId="18" applyFont="1" applyFill="1" applyAlignment="1"/>
    <xf numFmtId="0" fontId="19" fillId="2" borderId="0" xfId="18" applyFill="1" applyAlignment="1"/>
    <xf numFmtId="165" fontId="59" fillId="18" borderId="0" xfId="18" applyNumberFormat="1" applyFont="1" applyFill="1" applyAlignment="1"/>
    <xf numFmtId="0" fontId="60" fillId="18" borderId="0" xfId="18" applyFont="1" applyFill="1" applyAlignment="1"/>
    <xf numFmtId="0" fontId="37" fillId="18" borderId="0" xfId="18" applyFont="1" applyFill="1" applyAlignment="1"/>
    <xf numFmtId="0" fontId="61" fillId="2" borderId="0" xfId="18" applyFont="1" applyFill="1" applyAlignment="1"/>
    <xf numFmtId="0" fontId="21" fillId="2" borderId="0" xfId="18" applyFont="1" applyFill="1" applyAlignment="1"/>
    <xf numFmtId="0" fontId="59" fillId="0" borderId="0" xfId="18" applyFont="1" applyFill="1" applyBorder="1" applyAlignment="1"/>
    <xf numFmtId="0" fontId="59" fillId="2" borderId="65" xfId="18" applyFont="1" applyFill="1" applyBorder="1" applyAlignment="1"/>
    <xf numFmtId="0" fontId="62" fillId="9" borderId="0" xfId="18" applyFont="1" applyFill="1" applyBorder="1" applyAlignment="1">
      <alignment horizontal="center" vertical="top"/>
    </xf>
    <xf numFmtId="0" fontId="59" fillId="9" borderId="0" xfId="18" applyFont="1" applyFill="1" applyBorder="1" applyAlignment="1"/>
    <xf numFmtId="0" fontId="58" fillId="20" borderId="67" xfId="18" applyFont="1" applyFill="1" applyBorder="1" applyAlignment="1">
      <alignment horizontal="center" vertical="center"/>
    </xf>
    <xf numFmtId="0" fontId="58" fillId="20" borderId="67" xfId="18" applyFont="1" applyFill="1" applyBorder="1" applyAlignment="1">
      <alignment horizontal="center" vertical="center" wrapText="1"/>
    </xf>
    <xf numFmtId="165" fontId="63" fillId="9" borderId="68" xfId="68" applyFont="1" applyFill="1" applyBorder="1" applyAlignment="1"/>
    <xf numFmtId="4" fontId="63" fillId="9" borderId="0" xfId="18" applyNumberFormat="1" applyFont="1" applyFill="1" applyBorder="1" applyAlignment="1"/>
    <xf numFmtId="0" fontId="65" fillId="9" borderId="0" xfId="18" applyFont="1" applyFill="1" applyBorder="1" applyAlignment="1"/>
    <xf numFmtId="0" fontId="63" fillId="9" borderId="0" xfId="18" applyFont="1" applyFill="1" applyBorder="1" applyAlignment="1"/>
    <xf numFmtId="179" fontId="63" fillId="18" borderId="24" xfId="18" applyNumberFormat="1" applyFont="1" applyFill="1" applyBorder="1" applyAlignment="1">
      <alignment horizontal="center"/>
    </xf>
    <xf numFmtId="0" fontId="63" fillId="9" borderId="0" xfId="18" applyFont="1" applyFill="1" applyBorder="1" applyAlignment="1">
      <alignment horizontal="centerContinuous"/>
    </xf>
    <xf numFmtId="0" fontId="63" fillId="2" borderId="66" xfId="18" applyFont="1" applyFill="1" applyBorder="1" applyAlignment="1"/>
    <xf numFmtId="0" fontId="67" fillId="9" borderId="0" xfId="18" applyFont="1" applyFill="1" applyBorder="1" applyAlignment="1"/>
    <xf numFmtId="0" fontId="63" fillId="9" borderId="0" xfId="18" applyFont="1" applyFill="1" applyBorder="1" applyAlignment="1">
      <alignment horizontal="center"/>
    </xf>
    <xf numFmtId="0" fontId="64" fillId="9" borderId="0" xfId="18" applyFont="1" applyFill="1" applyBorder="1" applyAlignment="1"/>
    <xf numFmtId="9" fontId="63" fillId="18" borderId="69" xfId="67" applyNumberFormat="1" applyFont="1" applyFill="1" applyBorder="1" applyAlignment="1">
      <alignment horizontal="center" wrapText="1"/>
    </xf>
    <xf numFmtId="0" fontId="60" fillId="2" borderId="65" xfId="18" applyFont="1" applyFill="1" applyBorder="1" applyAlignment="1"/>
    <xf numFmtId="0" fontId="59" fillId="2" borderId="37" xfId="18" applyFont="1" applyFill="1" applyBorder="1" applyAlignment="1"/>
    <xf numFmtId="0" fontId="59" fillId="2" borderId="35" xfId="18" applyFont="1" applyFill="1" applyBorder="1" applyAlignment="1"/>
    <xf numFmtId="0" fontId="60" fillId="19" borderId="65" xfId="18" applyFont="1" applyFill="1" applyBorder="1" applyAlignment="1"/>
    <xf numFmtId="0" fontId="60" fillId="10" borderId="65" xfId="18" applyFont="1" applyFill="1" applyBorder="1" applyAlignment="1"/>
    <xf numFmtId="0" fontId="59" fillId="19" borderId="37" xfId="18" applyFont="1" applyFill="1" applyBorder="1" applyAlignment="1"/>
    <xf numFmtId="0" fontId="59" fillId="19" borderId="35" xfId="18" applyFont="1" applyFill="1" applyBorder="1" applyAlignment="1"/>
    <xf numFmtId="0" fontId="59" fillId="10" borderId="37" xfId="18" applyFont="1" applyFill="1" applyBorder="1" applyAlignment="1"/>
    <xf numFmtId="0" fontId="59" fillId="10" borderId="35" xfId="18" applyFont="1" applyFill="1" applyBorder="1" applyAlignment="1"/>
    <xf numFmtId="167" fontId="59" fillId="18" borderId="0" xfId="51" applyFont="1" applyFill="1" applyAlignment="1"/>
    <xf numFmtId="166" fontId="63" fillId="9" borderId="71" xfId="52" applyFont="1" applyFill="1" applyBorder="1" applyAlignment="1">
      <alignment horizontal="right"/>
    </xf>
    <xf numFmtId="166" fontId="63" fillId="0" borderId="71" xfId="52" applyFont="1" applyFill="1" applyBorder="1" applyAlignment="1">
      <alignment horizontal="center" wrapText="1"/>
    </xf>
    <xf numFmtId="166" fontId="63" fillId="19" borderId="71" xfId="52" applyFont="1" applyFill="1" applyBorder="1" applyAlignment="1">
      <alignment horizontal="right"/>
    </xf>
    <xf numFmtId="166" fontId="65" fillId="9" borderId="0" xfId="52" applyFont="1" applyFill="1" applyBorder="1" applyAlignment="1"/>
    <xf numFmtId="166" fontId="63" fillId="0" borderId="69" xfId="52" applyFont="1" applyFill="1" applyBorder="1" applyAlignment="1">
      <alignment horizontal="center" wrapText="1"/>
    </xf>
    <xf numFmtId="166" fontId="63" fillId="19" borderId="72" xfId="52" applyFont="1" applyFill="1" applyBorder="1" applyAlignment="1"/>
    <xf numFmtId="166" fontId="66" fillId="21" borderId="73" xfId="52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 horizontal="center"/>
    </xf>
    <xf numFmtId="0" fontId="18" fillId="4" borderId="14" xfId="0" applyFont="1" applyFill="1" applyBorder="1" applyAlignment="1">
      <alignment vertical="center" wrapText="1"/>
    </xf>
    <xf numFmtId="177" fontId="0" fillId="6" borderId="0" xfId="1" applyNumberFormat="1" applyFont="1" applyFill="1" applyBorder="1"/>
    <xf numFmtId="49" fontId="0" fillId="5" borderId="10" xfId="0" applyNumberFormat="1" applyFill="1" applyBorder="1" applyAlignment="1"/>
    <xf numFmtId="49" fontId="0" fillId="5" borderId="3" xfId="0" applyNumberFormat="1" applyFill="1" applyBorder="1" applyAlignment="1"/>
    <xf numFmtId="175" fontId="43" fillId="0" borderId="1" xfId="1" applyNumberFormat="1" applyFont="1" applyFill="1" applyBorder="1" applyAlignment="1">
      <alignment horizontal="center"/>
    </xf>
    <xf numFmtId="0" fontId="40" fillId="0" borderId="2" xfId="18" applyFont="1" applyFill="1" applyBorder="1" applyAlignment="1">
      <alignment horizontal="center" wrapText="1"/>
    </xf>
    <xf numFmtId="166" fontId="66" fillId="21" borderId="74" xfId="52" applyFont="1" applyFill="1" applyBorder="1" applyAlignment="1">
      <alignment horizontal="right"/>
    </xf>
    <xf numFmtId="0" fontId="58" fillId="20" borderId="75" xfId="18" applyFont="1" applyFill="1" applyBorder="1" applyAlignment="1">
      <alignment horizontal="center" vertical="center" wrapText="1"/>
    </xf>
    <xf numFmtId="166" fontId="63" fillId="9" borderId="72" xfId="52" applyFont="1" applyFill="1" applyBorder="1" applyAlignment="1">
      <alignment horizontal="right"/>
    </xf>
    <xf numFmtId="166" fontId="63" fillId="9" borderId="68" xfId="52" applyFont="1" applyFill="1" applyBorder="1" applyAlignment="1">
      <alignment horizontal="right"/>
    </xf>
    <xf numFmtId="0" fontId="58" fillId="20" borderId="76" xfId="18" applyFont="1" applyFill="1" applyBorder="1" applyAlignment="1">
      <alignment horizontal="center" vertical="center"/>
    </xf>
    <xf numFmtId="0" fontId="63" fillId="2" borderId="70" xfId="18" applyFont="1" applyFill="1" applyBorder="1" applyAlignment="1"/>
    <xf numFmtId="0" fontId="63" fillId="18" borderId="70" xfId="18" applyFont="1" applyFill="1" applyBorder="1" applyAlignment="1"/>
    <xf numFmtId="0" fontId="58" fillId="20" borderId="77" xfId="18" applyFont="1" applyFill="1" applyBorder="1" applyAlignment="1">
      <alignment horizontal="center" vertical="center" wrapText="1"/>
    </xf>
    <xf numFmtId="0" fontId="58" fillId="20" borderId="78" xfId="18" applyFont="1" applyFill="1" applyBorder="1" applyAlignment="1">
      <alignment horizontal="center" vertical="center" wrapText="1"/>
    </xf>
    <xf numFmtId="166" fontId="63" fillId="19" borderId="79" xfId="52" applyFont="1" applyFill="1" applyBorder="1" applyAlignment="1">
      <alignment horizontal="right"/>
    </xf>
    <xf numFmtId="166" fontId="64" fillId="10" borderId="80" xfId="52" applyFont="1" applyFill="1" applyBorder="1" applyAlignment="1">
      <alignment horizontal="right"/>
    </xf>
    <xf numFmtId="166" fontId="63" fillId="19" borderId="79" xfId="52" applyFont="1" applyFill="1" applyBorder="1" applyAlignment="1"/>
    <xf numFmtId="166" fontId="66" fillId="21" borderId="81" xfId="52" applyFont="1" applyFill="1" applyBorder="1" applyAlignment="1"/>
    <xf numFmtId="166" fontId="66" fillId="21" borderId="82" xfId="52" applyFont="1" applyFill="1" applyBorder="1" applyAlignment="1"/>
    <xf numFmtId="0" fontId="63" fillId="9" borderId="83" xfId="18" applyFont="1" applyFill="1" applyBorder="1" applyAlignment="1"/>
    <xf numFmtId="167" fontId="69" fillId="0" borderId="0" xfId="51" applyFont="1"/>
    <xf numFmtId="0" fontId="70" fillId="2" borderId="0" xfId="18" applyFont="1" applyFill="1" applyAlignment="1"/>
    <xf numFmtId="0" fontId="37" fillId="0" borderId="0" xfId="18" applyFont="1" applyBorder="1" applyAlignment="1">
      <alignment horizontal="left"/>
    </xf>
    <xf numFmtId="1" fontId="14" fillId="0" borderId="12" xfId="0" applyNumberFormat="1" applyFont="1" applyFill="1" applyBorder="1" applyAlignment="1">
      <alignment horizontal="right" indent="2"/>
    </xf>
    <xf numFmtId="179" fontId="14" fillId="0" borderId="12" xfId="0" applyNumberFormat="1" applyFont="1" applyFill="1" applyBorder="1" applyAlignment="1">
      <alignment horizontal="right"/>
    </xf>
    <xf numFmtId="0" fontId="1" fillId="0" borderId="0" xfId="18" applyFont="1" applyBorder="1" applyAlignment="1"/>
    <xf numFmtId="179" fontId="14" fillId="0" borderId="1" xfId="0" applyNumberFormat="1" applyFont="1" applyFill="1" applyBorder="1" applyAlignment="1">
      <alignment horizontal="center" vertical="center"/>
    </xf>
    <xf numFmtId="49" fontId="0" fillId="5" borderId="10" xfId="0" applyNumberFormat="1" applyFill="1" applyBorder="1" applyAlignment="1"/>
    <xf numFmtId="49" fontId="0" fillId="5" borderId="0" xfId="0" applyNumberFormat="1" applyFill="1" applyBorder="1" applyAlignment="1"/>
    <xf numFmtId="177" fontId="0" fillId="5" borderId="32" xfId="1" applyNumberFormat="1" applyFont="1" applyFill="1" applyBorder="1" applyAlignment="1">
      <alignment horizontal="center"/>
    </xf>
    <xf numFmtId="177" fontId="0" fillId="7" borderId="24" xfId="1" applyNumberFormat="1" applyFont="1" applyFill="1" applyBorder="1" applyAlignment="1">
      <alignment horizontal="center"/>
    </xf>
    <xf numFmtId="10" fontId="0" fillId="13" borderId="37" xfId="1" applyNumberFormat="1" applyFont="1" applyFill="1" applyBorder="1" applyAlignment="1">
      <alignment horizontal="center"/>
    </xf>
    <xf numFmtId="10" fontId="0" fillId="8" borderId="0" xfId="1" applyNumberFormat="1" applyFont="1" applyFill="1" applyBorder="1" applyAlignment="1">
      <alignment horizontal="right" indent="2"/>
    </xf>
    <xf numFmtId="10" fontId="10" fillId="13" borderId="24" xfId="1" applyNumberFormat="1" applyFont="1" applyFill="1" applyBorder="1" applyAlignment="1">
      <alignment horizontal="center"/>
    </xf>
    <xf numFmtId="10" fontId="10" fillId="13" borderId="1" xfId="1" applyNumberFormat="1" applyFont="1" applyFill="1" applyBorder="1" applyAlignment="1">
      <alignment horizontal="center"/>
    </xf>
    <xf numFmtId="10" fontId="0" fillId="6" borderId="1" xfId="0" applyNumberFormat="1" applyFont="1" applyFill="1" applyBorder="1" applyAlignment="1">
      <alignment horizontal="left" indent="2"/>
    </xf>
    <xf numFmtId="10" fontId="10" fillId="0" borderId="24" xfId="0" applyNumberFormat="1" applyFont="1" applyFill="1" applyBorder="1" applyAlignment="1">
      <alignment horizontal="center"/>
    </xf>
    <xf numFmtId="177" fontId="0" fillId="5" borderId="32" xfId="0" applyNumberFormat="1" applyFill="1" applyBorder="1" applyAlignment="1">
      <alignment horizontal="center"/>
    </xf>
    <xf numFmtId="10" fontId="10" fillId="13" borderId="24" xfId="0" applyNumberFormat="1" applyFont="1" applyFill="1" applyBorder="1" applyAlignment="1">
      <alignment horizontal="center"/>
    </xf>
    <xf numFmtId="177" fontId="10" fillId="8" borderId="0" xfId="1" applyNumberFormat="1" applyFont="1" applyFill="1" applyBorder="1" applyAlignment="1">
      <alignment horizontal="center"/>
    </xf>
    <xf numFmtId="177" fontId="0" fillId="13" borderId="0" xfId="1" applyNumberFormat="1" applyFont="1" applyFill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4" fontId="0" fillId="5" borderId="50" xfId="0" applyNumberFormat="1" applyFont="1" applyFill="1" applyBorder="1" applyAlignment="1">
      <alignment horizontal="left" wrapText="1"/>
    </xf>
    <xf numFmtId="10" fontId="0" fillId="0" borderId="84" xfId="1" applyNumberFormat="1" applyFont="1" applyFill="1" applyBorder="1"/>
    <xf numFmtId="0" fontId="37" fillId="0" borderId="0" xfId="18" applyFont="1" applyBorder="1" applyAlignment="1">
      <alignment horizontal="left"/>
    </xf>
    <xf numFmtId="0" fontId="37" fillId="2" borderId="0" xfId="18" applyFont="1" applyFill="1" applyBorder="1" applyAlignment="1">
      <alignment horizontal="left"/>
    </xf>
    <xf numFmtId="0" fontId="37" fillId="2" borderId="0" xfId="18" applyFont="1" applyFill="1" applyBorder="1" applyAlignment="1">
      <alignment horizontal="right"/>
    </xf>
    <xf numFmtId="4" fontId="37" fillId="2" borderId="0" xfId="18" applyNumberFormat="1" applyFont="1" applyFill="1" applyBorder="1" applyAlignment="1">
      <alignment horizontal="right"/>
    </xf>
    <xf numFmtId="0" fontId="37" fillId="0" borderId="0" xfId="18" quotePrefix="1" applyFont="1" applyBorder="1" applyAlignment="1">
      <alignment horizontal="left" indent="2"/>
    </xf>
    <xf numFmtId="0" fontId="38" fillId="0" borderId="0" xfId="18" applyFont="1" applyBorder="1" applyAlignment="1">
      <alignment horizontal="left" wrapText="1"/>
    </xf>
    <xf numFmtId="0" fontId="38" fillId="0" borderId="0" xfId="18" applyFont="1" applyBorder="1" applyAlignment="1">
      <alignment horizontal="left"/>
    </xf>
    <xf numFmtId="0" fontId="37" fillId="0" borderId="0" xfId="18" quotePrefix="1" applyFont="1" applyBorder="1" applyAlignment="1">
      <alignment horizontal="left"/>
    </xf>
    <xf numFmtId="172" fontId="37" fillId="10" borderId="6" xfId="18" applyNumberFormat="1" applyFont="1" applyFill="1" applyBorder="1" applyAlignment="1">
      <alignment horizontal="center"/>
    </xf>
    <xf numFmtId="172" fontId="37" fillId="10" borderId="4" xfId="18" applyNumberFormat="1" applyFont="1" applyFill="1" applyBorder="1" applyAlignment="1">
      <alignment horizontal="center"/>
    </xf>
    <xf numFmtId="0" fontId="37" fillId="0" borderId="0" xfId="18" applyFont="1" applyFill="1" applyBorder="1" applyAlignment="1">
      <alignment horizontal="center"/>
    </xf>
    <xf numFmtId="0" fontId="37" fillId="0" borderId="2" xfId="18" applyFont="1" applyFill="1" applyBorder="1" applyAlignment="1">
      <alignment horizontal="center"/>
    </xf>
    <xf numFmtId="0" fontId="37" fillId="2" borderId="0" xfId="18" applyFont="1" applyFill="1" applyBorder="1" applyAlignment="1">
      <alignment horizontal="center" wrapText="1"/>
    </xf>
    <xf numFmtId="15" fontId="37" fillId="0" borderId="14" xfId="18" applyNumberFormat="1" applyFont="1" applyBorder="1" applyAlignment="1">
      <alignment horizontal="center" wrapText="1"/>
    </xf>
    <xf numFmtId="0" fontId="37" fillId="0" borderId="4" xfId="18" applyFont="1" applyBorder="1" applyAlignment="1">
      <alignment horizontal="center" wrapText="1"/>
    </xf>
    <xf numFmtId="0" fontId="37" fillId="0" borderId="0" xfId="18" applyFont="1" applyBorder="1" applyAlignment="1">
      <alignment horizontal="center" vertical="center" wrapText="1"/>
    </xf>
    <xf numFmtId="15" fontId="37" fillId="0" borderId="7" xfId="18" applyNumberFormat="1" applyFont="1" applyBorder="1" applyAlignment="1">
      <alignment horizontal="center" vertical="center"/>
    </xf>
    <xf numFmtId="0" fontId="37" fillId="0" borderId="9" xfId="18" applyFont="1" applyBorder="1" applyAlignment="1">
      <alignment horizontal="center" vertical="center"/>
    </xf>
    <xf numFmtId="0" fontId="37" fillId="0" borderId="11" xfId="18" applyFont="1" applyBorder="1" applyAlignment="1">
      <alignment horizontal="center" vertical="center"/>
    </xf>
    <xf numFmtId="0" fontId="37" fillId="0" borderId="12" xfId="18" applyFont="1" applyBorder="1" applyAlignment="1">
      <alignment horizontal="center" vertical="center"/>
    </xf>
    <xf numFmtId="0" fontId="37" fillId="0" borderId="6" xfId="18" applyFont="1" applyBorder="1" applyAlignment="1">
      <alignment horizontal="left" indent="1"/>
    </xf>
    <xf numFmtId="0" fontId="37" fillId="0" borderId="4" xfId="18" applyFont="1" applyBorder="1" applyAlignment="1">
      <alignment horizontal="left" indent="1"/>
    </xf>
    <xf numFmtId="0" fontId="37" fillId="7" borderId="6" xfId="18" applyFont="1" applyFill="1" applyBorder="1" applyAlignment="1">
      <alignment horizontal="center" vertical="center"/>
    </xf>
    <xf numFmtId="0" fontId="37" fillId="7" borderId="4" xfId="18" applyFont="1" applyFill="1" applyBorder="1" applyAlignment="1">
      <alignment horizontal="center" vertical="center"/>
    </xf>
    <xf numFmtId="0" fontId="37" fillId="0" borderId="0" xfId="18" applyFont="1" applyBorder="1" applyAlignment="1">
      <alignment horizontal="left" vertical="center" wrapText="1"/>
    </xf>
    <xf numFmtId="172" fontId="51" fillId="10" borderId="6" xfId="18" applyNumberFormat="1" applyFont="1" applyFill="1" applyBorder="1" applyAlignment="1">
      <alignment horizontal="center"/>
    </xf>
    <xf numFmtId="172" fontId="51" fillId="10" borderId="4" xfId="18" applyNumberFormat="1" applyFont="1" applyFill="1" applyBorder="1" applyAlignment="1">
      <alignment horizontal="center"/>
    </xf>
    <xf numFmtId="0" fontId="33" fillId="17" borderId="14" xfId="18" applyFont="1" applyFill="1" applyBorder="1" applyAlignment="1">
      <alignment horizontal="center" vertical="center"/>
    </xf>
    <xf numFmtId="0" fontId="33" fillId="17" borderId="6" xfId="18" applyFont="1" applyFill="1" applyBorder="1" applyAlignment="1">
      <alignment horizontal="center" vertical="center"/>
    </xf>
    <xf numFmtId="0" fontId="33" fillId="17" borderId="4" xfId="18" applyFont="1" applyFill="1" applyBorder="1" applyAlignment="1">
      <alignment horizontal="center" vertical="center"/>
    </xf>
    <xf numFmtId="0" fontId="45" fillId="3" borderId="14" xfId="18" applyFont="1" applyFill="1" applyBorder="1" applyAlignment="1">
      <alignment horizontal="center" vertical="center"/>
    </xf>
    <xf numFmtId="0" fontId="45" fillId="3" borderId="6" xfId="18" applyFont="1" applyFill="1" applyBorder="1" applyAlignment="1">
      <alignment horizontal="center" vertical="center"/>
    </xf>
    <xf numFmtId="0" fontId="37" fillId="0" borderId="14" xfId="18" applyFont="1" applyBorder="1" applyAlignment="1">
      <alignment horizontal="left" indent="1"/>
    </xf>
    <xf numFmtId="0" fontId="33" fillId="14" borderId="40" xfId="18" applyFont="1" applyFill="1" applyBorder="1" applyAlignment="1">
      <alignment horizontal="center"/>
    </xf>
    <xf numFmtId="0" fontId="33" fillId="14" borderId="41" xfId="18" applyFont="1" applyFill="1" applyBorder="1" applyAlignment="1">
      <alignment horizontal="center"/>
    </xf>
    <xf numFmtId="0" fontId="33" fillId="14" borderId="42" xfId="18" applyFont="1" applyFill="1" applyBorder="1" applyAlignment="1">
      <alignment horizontal="center"/>
    </xf>
    <xf numFmtId="0" fontId="37" fillId="9" borderId="26" xfId="18" applyFont="1" applyFill="1" applyBorder="1" applyAlignment="1">
      <alignment horizontal="center"/>
    </xf>
    <xf numFmtId="0" fontId="37" fillId="9" borderId="5" xfId="18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 vertical="top"/>
    </xf>
    <xf numFmtId="0" fontId="9" fillId="3" borderId="0" xfId="0" applyFont="1" applyFill="1" applyBorder="1" applyAlignment="1">
      <alignment horizontal="center" vertical="top"/>
    </xf>
    <xf numFmtId="0" fontId="17" fillId="5" borderId="1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 vertical="top"/>
    </xf>
    <xf numFmtId="0" fontId="9" fillId="3" borderId="10" xfId="0" applyFont="1" applyFill="1" applyBorder="1" applyAlignment="1">
      <alignment horizontal="center" vertical="top"/>
    </xf>
    <xf numFmtId="4" fontId="13" fillId="3" borderId="6" xfId="0" applyNumberFormat="1" applyFont="1" applyFill="1" applyBorder="1" applyAlignment="1">
      <alignment horizontal="center" vertical="top" wrapText="1"/>
    </xf>
    <xf numFmtId="4" fontId="13" fillId="3" borderId="4" xfId="0" applyNumberFormat="1" applyFont="1" applyFill="1" applyBorder="1" applyAlignment="1">
      <alignment horizontal="center" vertical="top" wrapText="1"/>
    </xf>
    <xf numFmtId="0" fontId="13" fillId="3" borderId="6" xfId="0" applyFont="1" applyFill="1" applyBorder="1" applyAlignment="1">
      <alignment horizontal="center" vertical="top" wrapText="1"/>
    </xf>
    <xf numFmtId="0" fontId="13" fillId="3" borderId="4" xfId="0" applyFont="1" applyFill="1" applyBorder="1" applyAlignment="1">
      <alignment horizontal="center" vertical="top" wrapText="1"/>
    </xf>
    <xf numFmtId="0" fontId="13" fillId="3" borderId="6" xfId="0" applyFont="1" applyFill="1" applyBorder="1" applyAlignment="1">
      <alignment horizontal="center" vertical="top"/>
    </xf>
    <xf numFmtId="0" fontId="13" fillId="3" borderId="4" xfId="0" applyFont="1" applyFill="1" applyBorder="1" applyAlignment="1">
      <alignment horizontal="center" vertical="top"/>
    </xf>
    <xf numFmtId="49" fontId="10" fillId="5" borderId="10" xfId="0" applyNumberFormat="1" applyFont="1" applyFill="1" applyBorder="1" applyAlignment="1"/>
    <xf numFmtId="49" fontId="10" fillId="5" borderId="0" xfId="0" applyNumberFormat="1" applyFont="1" applyFill="1" applyBorder="1" applyAlignment="1"/>
    <xf numFmtId="0" fontId="11" fillId="3" borderId="1" xfId="0" applyFont="1" applyFill="1" applyBorder="1" applyAlignment="1">
      <alignment horizontal="center" vertical="center"/>
    </xf>
    <xf numFmtId="4" fontId="11" fillId="4" borderId="1" xfId="0" applyNumberFormat="1" applyFont="1" applyFill="1" applyBorder="1" applyAlignment="1">
      <alignment horizontal="center"/>
    </xf>
    <xf numFmtId="0" fontId="13" fillId="4" borderId="7" xfId="0" applyFont="1" applyFill="1" applyBorder="1" applyAlignment="1">
      <alignment horizontal="left" vertical="top"/>
    </xf>
    <xf numFmtId="0" fontId="13" fillId="4" borderId="8" xfId="0" applyFont="1" applyFill="1" applyBorder="1" applyAlignment="1">
      <alignment horizontal="left" vertical="top"/>
    </xf>
    <xf numFmtId="0" fontId="28" fillId="5" borderId="0" xfId="0" applyFont="1" applyFill="1" applyAlignment="1">
      <alignment horizontal="left" vertical="top"/>
    </xf>
    <xf numFmtId="49" fontId="10" fillId="16" borderId="0" xfId="0" applyNumberFormat="1" applyFont="1" applyFill="1" applyBorder="1" applyAlignment="1">
      <alignment horizontal="left" wrapText="1"/>
    </xf>
    <xf numFmtId="49" fontId="10" fillId="16" borderId="3" xfId="0" applyNumberFormat="1" applyFont="1" applyFill="1" applyBorder="1" applyAlignment="1">
      <alignment horizontal="left" wrapText="1"/>
    </xf>
    <xf numFmtId="0" fontId="27" fillId="5" borderId="7" xfId="0" applyFont="1" applyFill="1" applyBorder="1" applyAlignment="1">
      <alignment horizontal="center" vertical="top"/>
    </xf>
    <xf numFmtId="0" fontId="27" fillId="5" borderId="3" xfId="0" applyFont="1" applyFill="1" applyBorder="1" applyAlignment="1">
      <alignment horizontal="center" vertical="top"/>
    </xf>
    <xf numFmtId="4" fontId="0" fillId="5" borderId="7" xfId="0" applyNumberFormat="1" applyFill="1" applyBorder="1" applyAlignment="1">
      <alignment horizontal="left" wrapText="1"/>
    </xf>
    <xf numFmtId="4" fontId="0" fillId="5" borderId="8" xfId="0" applyNumberFormat="1" applyFill="1" applyBorder="1" applyAlignment="1">
      <alignment horizontal="left" wrapText="1"/>
    </xf>
    <xf numFmtId="4" fontId="0" fillId="5" borderId="57" xfId="0" applyNumberFormat="1" applyFill="1" applyBorder="1" applyAlignment="1">
      <alignment horizontal="left" wrapText="1"/>
    </xf>
    <xf numFmtId="4" fontId="0" fillId="5" borderId="11" xfId="0" applyNumberFormat="1" applyFill="1" applyBorder="1" applyAlignment="1">
      <alignment horizontal="left" wrapText="1"/>
    </xf>
    <xf numFmtId="4" fontId="0" fillId="5" borderId="2" xfId="0" applyNumberFormat="1" applyFill="1" applyBorder="1" applyAlignment="1">
      <alignment horizontal="left" wrapText="1"/>
    </xf>
    <xf numFmtId="4" fontId="0" fillId="5" borderId="58" xfId="0" applyNumberFormat="1" applyFill="1" applyBorder="1" applyAlignment="1">
      <alignment horizontal="left" wrapText="1"/>
    </xf>
    <xf numFmtId="0" fontId="9" fillId="3" borderId="63" xfId="0" applyFont="1" applyFill="1" applyBorder="1" applyAlignment="1">
      <alignment horizontal="center" vertical="top"/>
    </xf>
    <xf numFmtId="0" fontId="9" fillId="3" borderId="45" xfId="0" applyFont="1" applyFill="1" applyBorder="1" applyAlignment="1">
      <alignment horizontal="center" vertical="top"/>
    </xf>
    <xf numFmtId="0" fontId="9" fillId="3" borderId="48" xfId="0" applyFont="1" applyFill="1" applyBorder="1" applyAlignment="1">
      <alignment horizontal="center" vertical="top"/>
    </xf>
    <xf numFmtId="0" fontId="9" fillId="3" borderId="50" xfId="0" applyFont="1" applyFill="1" applyBorder="1" applyAlignment="1">
      <alignment horizontal="center" vertical="top"/>
    </xf>
    <xf numFmtId="0" fontId="0" fillId="0" borderId="56" xfId="0" applyFill="1" applyBorder="1" applyAlignment="1">
      <alignment horizontal="left"/>
    </xf>
    <xf numFmtId="0" fontId="0" fillId="0" borderId="35" xfId="0" applyFill="1" applyBorder="1" applyAlignment="1">
      <alignment horizontal="left"/>
    </xf>
    <xf numFmtId="0" fontId="28" fillId="7" borderId="0" xfId="0" applyFont="1" applyFill="1" applyAlignment="1">
      <alignment horizontal="left" vertical="top"/>
    </xf>
    <xf numFmtId="0" fontId="27" fillId="5" borderId="9" xfId="0" applyFont="1" applyFill="1" applyBorder="1" applyAlignment="1">
      <alignment horizontal="center" vertical="top"/>
    </xf>
    <xf numFmtId="4" fontId="0" fillId="16" borderId="0" xfId="0" applyNumberFormat="1" applyFill="1" applyBorder="1" applyAlignment="1">
      <alignment horizontal="left"/>
    </xf>
    <xf numFmtId="4" fontId="0" fillId="16" borderId="50" xfId="0" applyNumberFormat="1" applyFill="1" applyBorder="1" applyAlignment="1">
      <alignment horizontal="left"/>
    </xf>
    <xf numFmtId="4" fontId="0" fillId="16" borderId="60" xfId="0" applyNumberFormat="1" applyFill="1" applyBorder="1" applyAlignment="1">
      <alignment horizontal="left"/>
    </xf>
    <xf numFmtId="4" fontId="0" fillId="16" borderId="61" xfId="0" applyNumberFormat="1" applyFill="1" applyBorder="1" applyAlignment="1">
      <alignment horizontal="left"/>
    </xf>
    <xf numFmtId="9" fontId="0" fillId="5" borderId="0" xfId="1" applyFont="1" applyFill="1" applyBorder="1" applyAlignment="1">
      <alignment horizontal="center" wrapText="1"/>
    </xf>
    <xf numFmtId="9" fontId="0" fillId="5" borderId="50" xfId="1" applyFont="1" applyFill="1" applyBorder="1" applyAlignment="1">
      <alignment horizontal="center" wrapText="1"/>
    </xf>
    <xf numFmtId="0" fontId="15" fillId="9" borderId="8" xfId="0" applyFont="1" applyFill="1" applyBorder="1" applyAlignment="1">
      <alignment horizontal="center"/>
    </xf>
    <xf numFmtId="0" fontId="14" fillId="9" borderId="0" xfId="0" applyFont="1" applyFill="1" applyBorder="1" applyAlignment="1">
      <alignment horizontal="center"/>
    </xf>
    <xf numFmtId="0" fontId="14" fillId="9" borderId="3" xfId="0" applyFont="1" applyFill="1" applyBorder="1" applyAlignment="1">
      <alignment horizontal="center" wrapText="1"/>
    </xf>
    <xf numFmtId="0" fontId="14" fillId="9" borderId="12" xfId="0" applyFont="1" applyFill="1" applyBorder="1" applyAlignment="1">
      <alignment horizontal="center" wrapText="1"/>
    </xf>
    <xf numFmtId="0" fontId="14" fillId="9" borderId="17" xfId="0" applyFont="1" applyFill="1" applyBorder="1" applyAlignment="1">
      <alignment horizontal="center" wrapText="1"/>
    </xf>
    <xf numFmtId="0" fontId="14" fillId="9" borderId="13" xfId="0" applyFont="1" applyFill="1" applyBorder="1" applyAlignment="1">
      <alignment horizontal="center" wrapText="1"/>
    </xf>
    <xf numFmtId="0" fontId="14" fillId="5" borderId="17" xfId="0" applyFont="1" applyFill="1" applyBorder="1" applyAlignment="1">
      <alignment horizontal="center" wrapText="1"/>
    </xf>
    <xf numFmtId="0" fontId="14" fillId="5" borderId="13" xfId="0" applyFont="1" applyFill="1" applyBorder="1" applyAlignment="1">
      <alignment horizontal="center" wrapText="1"/>
    </xf>
    <xf numFmtId="0" fontId="32" fillId="11" borderId="23" xfId="0" applyFont="1" applyFill="1" applyBorder="1" applyAlignment="1"/>
    <xf numFmtId="0" fontId="32" fillId="11" borderId="22" xfId="0" applyFont="1" applyFill="1" applyBorder="1" applyAlignment="1"/>
    <xf numFmtId="0" fontId="14" fillId="10" borderId="17" xfId="0" applyFont="1" applyFill="1" applyBorder="1" applyAlignment="1">
      <alignment horizontal="center" wrapText="1"/>
    </xf>
    <xf numFmtId="0" fontId="14" fillId="10" borderId="13" xfId="0" applyFont="1" applyFill="1" applyBorder="1" applyAlignment="1">
      <alignment horizontal="center" wrapText="1"/>
    </xf>
    <xf numFmtId="9" fontId="14" fillId="12" borderId="17" xfId="0" applyNumberFormat="1" applyFont="1" applyFill="1" applyBorder="1" applyAlignment="1">
      <alignment horizontal="center" wrapText="1"/>
    </xf>
    <xf numFmtId="9" fontId="14" fillId="12" borderId="13" xfId="0" applyNumberFormat="1" applyFont="1" applyFill="1" applyBorder="1" applyAlignment="1">
      <alignment horizontal="center" wrapText="1"/>
    </xf>
    <xf numFmtId="0" fontId="0" fillId="5" borderId="14" xfId="0" applyNumberFormat="1" applyFont="1" applyFill="1" applyBorder="1" applyAlignment="1">
      <alignment horizontal="center"/>
    </xf>
    <xf numFmtId="0" fontId="0" fillId="5" borderId="6" xfId="0" applyNumberFormat="1" applyFont="1" applyFill="1" applyBorder="1" applyAlignment="1">
      <alignment horizontal="center"/>
    </xf>
    <xf numFmtId="0" fontId="0" fillId="5" borderId="4" xfId="0" applyNumberFormat="1" applyFont="1" applyFill="1" applyBorder="1" applyAlignment="1">
      <alignment horizontal="center"/>
    </xf>
    <xf numFmtId="0" fontId="63" fillId="2" borderId="65" xfId="18" applyFont="1" applyFill="1" applyBorder="1" applyAlignment="1">
      <alignment horizontal="center"/>
    </xf>
    <xf numFmtId="0" fontId="63" fillId="2" borderId="37" xfId="18" applyFont="1" applyFill="1" applyBorder="1" applyAlignment="1">
      <alignment horizontal="center"/>
    </xf>
    <xf numFmtId="0" fontId="50" fillId="3" borderId="10" xfId="2" applyFont="1" applyFill="1" applyBorder="1" applyAlignment="1">
      <alignment horizontal="center" vertical="top" wrapText="1"/>
    </xf>
    <xf numFmtId="0" fontId="50" fillId="3" borderId="0" xfId="2" applyFont="1" applyFill="1" applyBorder="1" applyAlignment="1">
      <alignment horizontal="center" vertical="top" wrapText="1"/>
    </xf>
  </cellXfs>
  <cellStyles count="69">
    <cellStyle name="Auto-Fill number" xfId="8"/>
    <cellStyle name="Blank above subtotal" xfId="9"/>
    <cellStyle name="Bottom Blank" xfId="12"/>
    <cellStyle name="Bottom Left blank corner" xfId="11"/>
    <cellStyle name="Bottom Right Corner blank" xfId="13"/>
    <cellStyle name="Child text" xfId="5"/>
    <cellStyle name="Comma" xfId="51" builtinId="3"/>
    <cellStyle name="Comma0" xfId="19"/>
    <cellStyle name="Currency" xfId="52" builtinId="4"/>
    <cellStyle name="Currency 2" xfId="68"/>
    <cellStyle name="Currency0" xfId="20"/>
    <cellStyle name="Date" xfId="21"/>
    <cellStyle name="Fixed" xfId="22"/>
    <cellStyle name="Header 1, First" xfId="2"/>
    <cellStyle name="Header 1, MID" xfId="3"/>
    <cellStyle name="Header 2, First" xfId="14"/>
    <cellStyle name="Header 2, Last" xfId="16"/>
    <cellStyle name="Header 2, MID" xfId="15"/>
    <cellStyle name="Header1, Last" xfId="4"/>
    <cellStyle name="Heading 1 2" xfId="23"/>
    <cellStyle name="Heading 1 2 2" xfId="24"/>
    <cellStyle name="Heading 1 2 3" xfId="25"/>
    <cellStyle name="Heading 1 2 4" xfId="26"/>
    <cellStyle name="Heading 1 2 5" xfId="27"/>
    <cellStyle name="Heading 1 2 6" xfId="28"/>
    <cellStyle name="Heading 1 2 7" xfId="29"/>
    <cellStyle name="Heading 2 2" xfId="30"/>
    <cellStyle name="Heading 2 2 2" xfId="31"/>
    <cellStyle name="Heading 2 2 3" xfId="32"/>
    <cellStyle name="Heading 2 2 4" xfId="33"/>
    <cellStyle name="Heading 2 2 5" xfId="34"/>
    <cellStyle name="Heading 2 2 6" xfId="35"/>
    <cellStyle name="Heading 2 2 7" xfId="36"/>
    <cellStyle name="Normal" xfId="0" builtinId="0"/>
    <cellStyle name="Normal 2" xfId="18"/>
    <cellStyle name="Normal 3" xfId="37"/>
    <cellStyle name="Normal 3 2" xfId="38"/>
    <cellStyle name="Normal 3 2 2" xfId="45"/>
    <cellStyle name="Normal 3 2 2 2" xfId="61"/>
    <cellStyle name="Normal 3 2 3" xfId="54"/>
    <cellStyle name="Normal 3 3" xfId="39"/>
    <cellStyle name="Normal 3 3 2" xfId="46"/>
    <cellStyle name="Normal 3 3 2 2" xfId="62"/>
    <cellStyle name="Normal 3 3 3" xfId="55"/>
    <cellStyle name="Normal 3 4" xfId="40"/>
    <cellStyle name="Normal 3 4 2" xfId="47"/>
    <cellStyle name="Normal 3 4 2 2" xfId="63"/>
    <cellStyle name="Normal 3 4 3" xfId="56"/>
    <cellStyle name="Normal 3 5" xfId="41"/>
    <cellStyle name="Normal 3 5 2" xfId="48"/>
    <cellStyle name="Normal 3 5 2 2" xfId="64"/>
    <cellStyle name="Normal 3 5 3" xfId="57"/>
    <cellStyle name="Normal 3 6" xfId="42"/>
    <cellStyle name="Normal 3 6 2" xfId="49"/>
    <cellStyle name="Normal 3 6 2 2" xfId="65"/>
    <cellStyle name="Normal 3 6 3" xfId="58"/>
    <cellStyle name="Normal 3 7" xfId="43"/>
    <cellStyle name="Normal 3 7 2" xfId="50"/>
    <cellStyle name="Normal 3 7 2 2" xfId="66"/>
    <cellStyle name="Normal 3 7 3" xfId="59"/>
    <cellStyle name="Normal 3 8" xfId="44"/>
    <cellStyle name="Normal 3 8 2" xfId="60"/>
    <cellStyle name="Normal 3 9" xfId="53"/>
    <cellStyle name="Parent text" xfId="6"/>
    <cellStyle name="Percent" xfId="1" builtinId="5"/>
    <cellStyle name="Percent 2" xfId="67"/>
    <cellStyle name="Subtotal Number" xfId="10"/>
    <cellStyle name="TITLEBOX" xfId="17"/>
    <cellStyle name="UserInput" xfId="7"/>
  </cellStyles>
  <dxfs count="34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  <border>
        <left/>
        <right/>
        <bottom/>
        <vertical/>
        <horizontal/>
      </border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ont>
        <color theme="1" tint="0.34998626667073579"/>
      </font>
      <fill>
        <patternFill>
          <bgColor theme="0" tint="-4.9989318521683403E-2"/>
        </patternFill>
      </fill>
    </dxf>
    <dxf>
      <font>
        <color rgb="FF3A477E"/>
      </font>
      <fill>
        <patternFill>
          <bgColor theme="0"/>
        </patternFill>
      </fill>
    </dxf>
    <dxf>
      <font>
        <color theme="1" tint="0.34998626667073579"/>
      </font>
      <fill>
        <patternFill>
          <bgColor theme="0" tint="-4.9989318521683403E-2"/>
        </patternFill>
      </fill>
    </dxf>
    <dxf>
      <font>
        <color rgb="FF3A477E"/>
      </font>
      <fill>
        <patternFill>
          <bgColor theme="0"/>
        </patternFill>
      </fill>
    </dxf>
    <dxf>
      <font>
        <color theme="1" tint="0.34998626667073579"/>
      </font>
      <fill>
        <patternFill>
          <bgColor theme="0" tint="-4.9989318521683403E-2"/>
        </patternFill>
      </fill>
    </dxf>
    <dxf>
      <font>
        <color rgb="FF3A477E"/>
      </font>
      <fill>
        <patternFill>
          <bgColor theme="0"/>
        </patternFill>
      </fill>
    </dxf>
    <dxf>
      <font>
        <color theme="1" tint="0.34998626667073579"/>
      </font>
      <fill>
        <patternFill>
          <bgColor theme="0" tint="-4.9989318521683403E-2"/>
        </patternFill>
      </fill>
    </dxf>
    <dxf>
      <font>
        <color rgb="FF3A477E"/>
      </font>
      <fill>
        <patternFill>
          <bgColor theme="0"/>
        </patternFill>
      </fill>
    </dxf>
    <dxf>
      <font>
        <color theme="1" tint="0.34998626667073579"/>
      </font>
      <fill>
        <patternFill>
          <bgColor theme="0" tint="-4.9989318521683403E-2"/>
        </patternFill>
      </fill>
    </dxf>
    <dxf>
      <font>
        <color rgb="FF3A477E"/>
      </font>
      <fill>
        <patternFill>
          <bgColor theme="0"/>
        </patternFill>
      </fill>
    </dxf>
    <dxf>
      <font>
        <color theme="1" tint="0.34998626667073579"/>
      </font>
      <fill>
        <patternFill>
          <bgColor theme="0" tint="-4.9989318521683403E-2"/>
        </patternFill>
      </fill>
    </dxf>
    <dxf>
      <font>
        <color rgb="FF3A477E"/>
      </font>
      <fill>
        <patternFill>
          <bgColor theme="0"/>
        </patternFill>
      </fill>
    </dxf>
    <dxf>
      <font>
        <color theme="1" tint="0.34998626667073579"/>
      </font>
      <fill>
        <patternFill>
          <bgColor theme="0" tint="-4.9989318521683403E-2"/>
        </patternFill>
      </fill>
    </dxf>
    <dxf>
      <font>
        <color rgb="FF3A477E"/>
      </font>
      <fill>
        <patternFill>
          <bgColor theme="0"/>
        </patternFill>
      </fill>
    </dxf>
    <dxf>
      <font>
        <color theme="1" tint="0.34998626667073579"/>
      </font>
      <fill>
        <patternFill>
          <bgColor theme="0" tint="-4.9989318521683403E-2"/>
        </patternFill>
      </fill>
    </dxf>
    <dxf>
      <font>
        <color theme="1" tint="0.499984740745262"/>
      </font>
    </dxf>
    <dxf>
      <fill>
        <patternFill>
          <bgColor theme="0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1" tint="0.34998626667073579"/>
      </font>
      <fill>
        <patternFill>
          <bgColor theme="0" tint="-4.9989318521683403E-2"/>
        </patternFill>
      </fill>
    </dxf>
    <dxf>
      <font>
        <color rgb="FF3A477E"/>
      </font>
      <fill>
        <patternFill>
          <bgColor theme="0"/>
        </patternFill>
      </fill>
    </dxf>
    <dxf>
      <font>
        <color theme="1" tint="0.34998626667073579"/>
      </font>
      <fill>
        <patternFill>
          <bgColor theme="0" tint="-4.9989318521683403E-2"/>
        </patternFill>
      </fill>
    </dxf>
    <dxf>
      <font>
        <color rgb="FF3A477E"/>
      </font>
      <fill>
        <patternFill>
          <bgColor theme="0"/>
        </patternFill>
      </fill>
    </dxf>
  </dxfs>
  <tableStyles count="0" defaultTableStyle="TableStyleMedium9" defaultPivotStyle="PivotStyleLight16"/>
  <colors>
    <mruColors>
      <color rgb="FF3A477E"/>
      <color rgb="FF5062AE"/>
      <color rgb="FFBEC2D4"/>
      <color rgb="FFB3B8CD"/>
      <color rgb="FFFFFF99"/>
      <color rgb="FF959CB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5" dropStyle="combo" dx="16" fmlaLink="F5" fmlaRange="$L$3:$L$7" sel="5" val="0"/>
</file>

<file path=xl/ctrlProps/ctrlProp2.xml><?xml version="1.0" encoding="utf-8"?>
<formControlPr xmlns="http://schemas.microsoft.com/office/spreadsheetml/2009/9/main" objectType="Radio" checked="Checked" firstButton="1" fmlaLink="K6" lockText="1"/>
</file>

<file path=xl/ctrlProps/ctrlProp3.xml><?xml version="1.0" encoding="utf-8"?>
<formControlPr xmlns="http://schemas.microsoft.com/office/spreadsheetml/2009/9/main" objectType="Radio" lockText="1"/>
</file>

<file path=xl/ctrlProps/ctrlProp4.xml><?xml version="1.0" encoding="utf-8"?>
<formControlPr xmlns="http://schemas.microsoft.com/office/spreadsheetml/2009/9/main" objectType="Radio" checked="Checked" firstButton="1" fmlaLink="K6" lockText="1"/>
</file>

<file path=xl/ctrlProps/ctrlProp5.xml><?xml version="1.0" encoding="utf-8"?>
<formControlPr xmlns="http://schemas.microsoft.com/office/spreadsheetml/2009/9/main" objectType="Radio" lockText="1"/>
</file>

<file path=xl/ctrlProps/ctrlProp6.xml><?xml version="1.0" encoding="utf-8"?>
<formControlPr xmlns="http://schemas.microsoft.com/office/spreadsheetml/2009/9/main" objectType="Radio" checked="Checked" firstButton="1" fmlaLink="A10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</xdr:row>
          <xdr:rowOff>0</xdr:rowOff>
        </xdr:from>
        <xdr:to>
          <xdr:col>9</xdr:col>
          <xdr:colOff>0</xdr:colOff>
          <xdr:row>5</xdr:row>
          <xdr:rowOff>0</xdr:rowOff>
        </xdr:to>
        <xdr:sp macro="" textlink="">
          <xdr:nvSpPr>
            <xdr:cNvPr id="6146" name="Drop Down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109546</xdr:colOff>
          <xdr:row>5</xdr:row>
          <xdr:rowOff>200026</xdr:rowOff>
        </xdr:from>
        <xdr:to>
          <xdr:col>12</xdr:col>
          <xdr:colOff>152048</xdr:colOff>
          <xdr:row>5</xdr:row>
          <xdr:rowOff>400051</xdr:rowOff>
        </xdr:to>
        <xdr:grpSp>
          <xdr:nvGrpSpPr>
            <xdr:cNvPr id="2" name="Group 1"/>
            <xdr:cNvGrpSpPr/>
          </xdr:nvGrpSpPr>
          <xdr:grpSpPr>
            <a:xfrm>
              <a:off x="5776917" y="1152526"/>
              <a:ext cx="1923690" cy="200025"/>
              <a:chOff x="12242001" y="379610"/>
              <a:chExt cx="1021818" cy="183355"/>
            </a:xfrm>
            <a:noFill/>
          </xdr:grpSpPr>
          <xdr:sp macro="" textlink="">
            <xdr:nvSpPr>
              <xdr:cNvPr id="1041" name="Option Button 17" hidden="1">
                <a:extLst>
                  <a:ext uri="{63B3BB69-23CF-44E3-9099-C40C66FF867C}">
                    <a14:compatExt spid="_x0000_s1041"/>
                  </a:ext>
                </a:extLst>
              </xdr:cNvPr>
              <xdr:cNvSpPr/>
            </xdr:nvSpPr>
            <xdr:spPr>
              <a:xfrm>
                <a:off x="12242001" y="379610"/>
                <a:ext cx="497126" cy="18335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HST +13%</a:t>
                </a:r>
                <a:endParaRPr lang="en-CA"/>
              </a:p>
            </xdr:txBody>
          </xdr:sp>
          <xdr:sp macro="" textlink="">
            <xdr:nvSpPr>
              <xdr:cNvPr id="1042" name="Option Button 18" hidden="1">
                <a:extLst>
                  <a:ext uri="{63B3BB69-23CF-44E3-9099-C40C66FF867C}">
                    <a14:compatExt spid="_x0000_s1042"/>
                  </a:ext>
                </a:extLst>
              </xdr:cNvPr>
              <xdr:cNvSpPr/>
            </xdr:nvSpPr>
            <xdr:spPr>
              <a:xfrm>
                <a:off x="12737021" y="382489"/>
                <a:ext cx="526798" cy="176808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HST Included</a:t>
                </a:r>
                <a:endParaRPr lang="en-CA"/>
              </a:p>
            </xdr:txBody>
          </xdr:sp>
        </xdr:grp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447637</xdr:colOff>
          <xdr:row>5</xdr:row>
          <xdr:rowOff>257173</xdr:rowOff>
        </xdr:from>
        <xdr:to>
          <xdr:col>11</xdr:col>
          <xdr:colOff>605007</xdr:colOff>
          <xdr:row>5</xdr:row>
          <xdr:rowOff>421764</xdr:rowOff>
        </xdr:to>
        <xdr:grpSp>
          <xdr:nvGrpSpPr>
            <xdr:cNvPr id="4" name="Group 3"/>
            <xdr:cNvGrpSpPr/>
          </xdr:nvGrpSpPr>
          <xdr:grpSpPr>
            <a:xfrm>
              <a:off x="5312839" y="1262590"/>
              <a:ext cx="1546928" cy="164591"/>
              <a:chOff x="12241921" y="379610"/>
              <a:chExt cx="966416" cy="117347"/>
            </a:xfrm>
            <a:noFill/>
          </xdr:grpSpPr>
          <xdr:sp macro="" textlink="">
            <xdr:nvSpPr>
              <xdr:cNvPr id="9222" name="Option Button 6" hidden="1">
                <a:extLst>
                  <a:ext uri="{63B3BB69-23CF-44E3-9099-C40C66FF867C}">
                    <a14:compatExt spid="_x0000_s9222"/>
                  </a:ext>
                </a:extLst>
              </xdr:cNvPr>
              <xdr:cNvSpPr/>
            </xdr:nvSpPr>
            <xdr:spPr>
              <a:xfrm>
                <a:off x="12241921" y="379610"/>
                <a:ext cx="471277" cy="11734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HST +13%</a:t>
                </a:r>
                <a:endParaRPr lang="en-CA"/>
              </a:p>
            </xdr:txBody>
          </xdr:sp>
          <xdr:sp macro="" textlink="">
            <xdr:nvSpPr>
              <xdr:cNvPr id="9223" name="Option Button 7" hidden="1">
                <a:extLst>
                  <a:ext uri="{63B3BB69-23CF-44E3-9099-C40C66FF867C}">
                    <a14:compatExt spid="_x0000_s9223"/>
                  </a:ext>
                </a:extLst>
              </xdr:cNvPr>
              <xdr:cNvSpPr/>
            </xdr:nvSpPr>
            <xdr:spPr>
              <a:xfrm>
                <a:off x="12737060" y="379610"/>
                <a:ext cx="471277" cy="11734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HST Included</a:t>
                </a:r>
                <a:endParaRPr lang="en-CA"/>
              </a:p>
            </xdr:txBody>
          </xdr:sp>
        </xdr:grp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9</xdr:row>
          <xdr:rowOff>104775</xdr:rowOff>
        </xdr:from>
        <xdr:to>
          <xdr:col>2</xdr:col>
          <xdr:colOff>123825</xdr:colOff>
          <xdr:row>10</xdr:row>
          <xdr:rowOff>9525</xdr:rowOff>
        </xdr:to>
        <xdr:sp macro="" textlink="">
          <xdr:nvSpPr>
            <xdr:cNvPr id="10241" name="Option Button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% of Total Contract Amount</a:t>
              </a:r>
              <a:endParaRPr lang="en-CA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10</xdr:row>
          <xdr:rowOff>76200</xdr:rowOff>
        </xdr:from>
        <xdr:to>
          <xdr:col>2</xdr:col>
          <xdr:colOff>85725</xdr:colOff>
          <xdr:row>11</xdr:row>
          <xdr:rowOff>9525</xdr:rowOff>
        </xdr:to>
        <xdr:sp macro="" textlink="">
          <xdr:nvSpPr>
            <xdr:cNvPr id="10242" name="Option Button 2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Estimated Fixed Amount </a:t>
              </a:r>
              <a:endParaRPr lang="en-CA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11</xdr:row>
          <xdr:rowOff>76200</xdr:rowOff>
        </xdr:from>
        <xdr:to>
          <xdr:col>2</xdr:col>
          <xdr:colOff>76200</xdr:colOff>
          <xdr:row>11</xdr:row>
          <xdr:rowOff>314325</xdr:rowOff>
        </xdr:to>
        <xdr:sp macro="" textlink="">
          <xdr:nvSpPr>
            <xdr:cNvPr id="10243" name="Option Button 3" hidden="1">
              <a:extLst>
                <a:ext uri="{63B3BB69-23CF-44E3-9099-C40C66FF867C}">
                  <a14:compatExt spid="_x0000_s10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% of Remaining Balance </a:t>
              </a:r>
              <a:endParaRPr lang="en-CA"/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T\Local%20Settings\Temporary%20Internet%20Files\Content.Outlook\KJ3OWEQL\PAYMENT_SHEET%20version4%20draft_N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 Summary"/>
      <sheetName val="Company"/>
      <sheetName val="Trades"/>
      <sheetName val="Consultant (2)"/>
      <sheetName val="Consultant"/>
    </sheetNames>
    <sheetDataSet>
      <sheetData sheetId="0">
        <row r="3">
          <cell r="B3" t="str">
            <v>Company Name</v>
          </cell>
        </row>
      </sheetData>
      <sheetData sheetId="1">
        <row r="2">
          <cell r="C2" t="str">
            <v>Contract Number</v>
          </cell>
        </row>
      </sheetData>
      <sheetData sheetId="2">
        <row r="8">
          <cell r="M8">
            <v>0.1</v>
          </cell>
        </row>
      </sheetData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1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07"/>
  <sheetViews>
    <sheetView showGridLines="0" tabSelected="1" zoomScaleNormal="100" workbookViewId="0">
      <pane ySplit="10" topLeftCell="A11" activePane="bottomLeft" state="frozen"/>
      <selection pane="bottomLeft" activeCell="B3" sqref="B3:D3"/>
    </sheetView>
  </sheetViews>
  <sheetFormatPr defaultRowHeight="15" x14ac:dyDescent="0.25"/>
  <cols>
    <col min="1" max="1" width="24.42578125" style="188" customWidth="1"/>
    <col min="2" max="2" width="8" style="186" customWidth="1"/>
    <col min="3" max="3" width="7.5703125" style="187" customWidth="1"/>
    <col min="4" max="4" width="37.5703125" style="186" customWidth="1"/>
    <col min="5" max="5" width="6.140625" style="186" customWidth="1"/>
    <col min="6" max="6" width="5.85546875" style="186" customWidth="1"/>
    <col min="7" max="7" width="13.5703125" style="186" customWidth="1"/>
    <col min="8" max="8" width="20.85546875" style="186" customWidth="1"/>
    <col min="9" max="9" width="11.7109375" style="186" customWidth="1"/>
    <col min="10" max="10" width="5.140625" style="186" customWidth="1"/>
    <col min="11" max="11" width="9.5703125" style="186" customWidth="1"/>
    <col min="12" max="13" width="9.140625" style="186" hidden="1" customWidth="1"/>
    <col min="14" max="14" width="13.7109375" style="186" hidden="1" customWidth="1"/>
    <col min="15" max="21" width="9.140625" style="186" customWidth="1"/>
    <col min="22" max="16384" width="9.140625" style="186"/>
  </cols>
  <sheetData>
    <row r="1" spans="1:14" ht="37.5" customHeight="1" x14ac:dyDescent="0.25">
      <c r="A1" s="755" t="s">
        <v>136</v>
      </c>
      <c r="B1" s="756"/>
      <c r="C1" s="756"/>
      <c r="D1" s="756"/>
      <c r="E1" s="756"/>
      <c r="F1" s="756"/>
      <c r="G1" s="756"/>
      <c r="H1" s="756"/>
      <c r="I1" s="756"/>
      <c r="J1" s="756"/>
      <c r="K1" s="189"/>
      <c r="L1" s="752" t="s">
        <v>253</v>
      </c>
      <c r="M1" s="753"/>
      <c r="N1" s="754"/>
    </row>
    <row r="2" spans="1:14" ht="6.75" customHeight="1" x14ac:dyDescent="0.25">
      <c r="A2" s="289"/>
      <c r="B2" s="290"/>
      <c r="C2" s="291"/>
      <c r="D2" s="290"/>
      <c r="E2" s="290"/>
      <c r="F2" s="290"/>
      <c r="G2" s="290"/>
      <c r="H2" s="292"/>
      <c r="I2" s="292"/>
      <c r="J2" s="292"/>
      <c r="K2" s="189"/>
    </row>
    <row r="3" spans="1:14" ht="20.100000000000001" customHeight="1" thickBot="1" x14ac:dyDescent="0.3">
      <c r="A3" s="443" t="s">
        <v>244</v>
      </c>
      <c r="B3" s="757"/>
      <c r="C3" s="745"/>
      <c r="D3" s="746"/>
      <c r="E3" s="444"/>
      <c r="F3" s="444"/>
      <c r="G3" s="444"/>
      <c r="H3" s="444"/>
      <c r="I3" s="444"/>
      <c r="J3" s="445"/>
      <c r="L3" s="549" t="s">
        <v>307</v>
      </c>
      <c r="M3" s="292"/>
      <c r="N3" s="550"/>
    </row>
    <row r="4" spans="1:14" ht="20.100000000000001" customHeight="1" thickBot="1" x14ac:dyDescent="0.3">
      <c r="A4" s="443" t="s">
        <v>246</v>
      </c>
      <c r="B4" s="745" t="s">
        <v>82</v>
      </c>
      <c r="C4" s="745"/>
      <c r="D4" s="746"/>
      <c r="E4" s="446"/>
      <c r="F4" s="758" t="s">
        <v>243</v>
      </c>
      <c r="G4" s="759"/>
      <c r="H4" s="759"/>
      <c r="I4" s="760"/>
      <c r="J4" s="450"/>
      <c r="L4" s="551" t="s">
        <v>306</v>
      </c>
      <c r="M4" s="189"/>
      <c r="N4" s="552"/>
    </row>
    <row r="5" spans="1:14" ht="20.100000000000001" customHeight="1" thickBot="1" x14ac:dyDescent="0.3">
      <c r="A5" s="443" t="s">
        <v>245</v>
      </c>
      <c r="B5" s="619" t="str">
        <f>IF(N8=TRUE,"[Identify architect name if applicable]","N/A")</f>
        <v>N/A</v>
      </c>
      <c r="C5" s="619"/>
      <c r="D5" s="620"/>
      <c r="E5" s="446"/>
      <c r="F5" s="761">
        <v>5</v>
      </c>
      <c r="G5" s="762"/>
      <c r="H5" s="762">
        <v>1</v>
      </c>
      <c r="I5" s="762"/>
      <c r="J5" s="450"/>
      <c r="L5" s="551" t="s">
        <v>305</v>
      </c>
      <c r="M5" s="189"/>
      <c r="N5" s="552"/>
    </row>
    <row r="6" spans="1:14" ht="20.100000000000001" customHeight="1" x14ac:dyDescent="0.25">
      <c r="A6" s="443" t="s">
        <v>247</v>
      </c>
      <c r="B6" s="745" t="s">
        <v>284</v>
      </c>
      <c r="C6" s="745"/>
      <c r="D6" s="746"/>
      <c r="E6" s="446"/>
      <c r="F6" s="448" t="s">
        <v>250</v>
      </c>
      <c r="G6" s="449"/>
      <c r="H6" s="449"/>
      <c r="I6" s="449"/>
      <c r="J6" s="450"/>
      <c r="L6" s="551" t="s">
        <v>304</v>
      </c>
      <c r="M6" s="189"/>
      <c r="N6" s="552"/>
    </row>
    <row r="7" spans="1:14" ht="20.100000000000001" customHeight="1" x14ac:dyDescent="0.25">
      <c r="A7" s="443" t="s">
        <v>248</v>
      </c>
      <c r="B7" s="745">
        <v>502</v>
      </c>
      <c r="C7" s="745"/>
      <c r="D7" s="746"/>
      <c r="E7" s="446"/>
      <c r="F7" s="446"/>
      <c r="G7" s="446"/>
      <c r="H7" s="446"/>
      <c r="I7" s="446"/>
      <c r="J7" s="450"/>
      <c r="L7" s="551" t="s">
        <v>84</v>
      </c>
      <c r="M7" s="189"/>
      <c r="N7" s="552"/>
    </row>
    <row r="8" spans="1:14" ht="20.100000000000001" customHeight="1" x14ac:dyDescent="0.25">
      <c r="A8" s="443" t="s">
        <v>249</v>
      </c>
      <c r="B8" s="633" t="str">
        <f>+IF(L8&lt;&gt;FALSE,"","N/A")</f>
        <v/>
      </c>
      <c r="C8" s="747"/>
      <c r="D8" s="748"/>
      <c r="E8" s="447"/>
      <c r="F8" s="447"/>
      <c r="G8" s="447"/>
      <c r="H8" s="447"/>
      <c r="I8" s="447"/>
      <c r="J8" s="451"/>
      <c r="L8" s="551" t="b">
        <f>OR(ISNUMBER(SEARCH(501,B7)),ISNUMBER(SEARCH(502,B7)),ISNUMBER(SEARCH(503,B7)),ISNUMBER(SEARCH(504,B7)),ISNUMBER(SEARCH(505,B7)),ISNUMBER(SEARCH(558,B7)),ISNUMBER(SEARCH(601,B7)),ISNUMBER(SEARCH(6.1,B7)),ISNUMBER(SEARCH(5.1,B7)))</f>
        <v>1</v>
      </c>
      <c r="M8" s="189" t="b">
        <f>AND(L8=TRUE,C8="Renovation (general contractor)")</f>
        <v>0</v>
      </c>
      <c r="N8" s="551" t="b">
        <f>OR(ISNUMBER(SEARCH(501,B7)),ISNUMBER(SEARCH(701,B7)))</f>
        <v>0</v>
      </c>
    </row>
    <row r="9" spans="1:14" ht="6.75" customHeight="1" x14ac:dyDescent="0.25">
      <c r="A9" s="185"/>
      <c r="E9" s="184"/>
      <c r="F9" s="184"/>
      <c r="G9" s="184"/>
      <c r="H9" s="189"/>
      <c r="I9" s="189"/>
      <c r="J9" s="189"/>
      <c r="K9" s="189"/>
      <c r="L9" s="553"/>
      <c r="M9" s="189"/>
      <c r="N9" s="552"/>
    </row>
    <row r="10" spans="1:14" ht="19.5" customHeight="1" x14ac:dyDescent="0.25">
      <c r="A10" s="622" t="s">
        <v>83</v>
      </c>
      <c r="B10" s="730" t="s">
        <v>35</v>
      </c>
      <c r="C10" s="731"/>
      <c r="D10" s="731"/>
      <c r="E10" s="203"/>
      <c r="F10" s="203"/>
      <c r="G10" s="184"/>
      <c r="H10" s="202"/>
      <c r="I10" s="189"/>
      <c r="J10" s="189"/>
      <c r="K10" s="189"/>
      <c r="L10" s="553" t="s">
        <v>309</v>
      </c>
      <c r="M10" s="189"/>
      <c r="N10" s="552"/>
    </row>
    <row r="11" spans="1:14" ht="9.75" customHeight="1" x14ac:dyDescent="0.25">
      <c r="A11" s="622"/>
      <c r="B11" s="617"/>
      <c r="C11" s="618"/>
      <c r="D11" s="618"/>
      <c r="E11" s="618"/>
      <c r="F11" s="618"/>
      <c r="G11" s="184"/>
      <c r="H11" s="617"/>
      <c r="I11" s="189"/>
      <c r="J11" s="189"/>
      <c r="K11" s="189"/>
      <c r="L11" s="553" t="s">
        <v>308</v>
      </c>
      <c r="M11" s="189"/>
      <c r="N11" s="552"/>
    </row>
    <row r="12" spans="1:14" ht="15" customHeight="1" x14ac:dyDescent="0.25">
      <c r="A12" s="185"/>
      <c r="B12" s="190" t="s">
        <v>137</v>
      </c>
      <c r="C12" s="191"/>
      <c r="D12" s="191"/>
      <c r="E12" s="191"/>
      <c r="F12" s="191"/>
      <c r="G12" s="184"/>
      <c r="H12" s="189"/>
      <c r="I12" s="189"/>
      <c r="J12" s="189"/>
      <c r="K12" s="189"/>
      <c r="L12" s="554" t="s">
        <v>310</v>
      </c>
      <c r="M12" s="555"/>
      <c r="N12" s="556"/>
    </row>
    <row r="13" spans="1:14" ht="15" customHeight="1" x14ac:dyDescent="0.25">
      <c r="A13" s="293"/>
      <c r="B13" s="192">
        <v>100</v>
      </c>
      <c r="C13" s="198" t="s">
        <v>36</v>
      </c>
      <c r="D13" s="184"/>
      <c r="E13" s="184"/>
      <c r="F13" s="184"/>
      <c r="G13" s="184"/>
      <c r="H13" s="189"/>
      <c r="I13" s="189"/>
      <c r="J13" s="189"/>
      <c r="K13" s="189"/>
    </row>
    <row r="14" spans="1:14" ht="15" customHeight="1" x14ac:dyDescent="0.25">
      <c r="A14" s="294" t="str">
        <f>IF($F$5=2,"Required","N/A")</f>
        <v>N/A</v>
      </c>
      <c r="B14" s="192"/>
      <c r="C14" s="192">
        <v>101</v>
      </c>
      <c r="D14" s="224" t="s">
        <v>140</v>
      </c>
      <c r="E14" s="193"/>
      <c r="F14" s="193"/>
      <c r="G14" s="189"/>
      <c r="H14" s="189"/>
      <c r="I14" s="189"/>
      <c r="J14" s="189"/>
      <c r="K14" s="189"/>
    </row>
    <row r="15" spans="1:14" ht="15" customHeight="1" x14ac:dyDescent="0.25">
      <c r="A15" s="294" t="str">
        <f>IF($F$5=4,"Required","N/A")</f>
        <v>N/A</v>
      </c>
      <c r="B15" s="192"/>
      <c r="C15" s="192">
        <v>102</v>
      </c>
      <c r="D15" s="706" t="s">
        <v>321</v>
      </c>
      <c r="E15" s="193"/>
      <c r="F15" s="193"/>
      <c r="G15" s="189"/>
      <c r="H15" s="189"/>
      <c r="I15" s="189"/>
      <c r="J15" s="189"/>
      <c r="K15" s="189"/>
    </row>
    <row r="16" spans="1:14" ht="15" customHeight="1" x14ac:dyDescent="0.25">
      <c r="A16" s="294" t="str">
        <f>IF($F$5=4,"if applicable","N/A")</f>
        <v>N/A</v>
      </c>
      <c r="B16" s="192"/>
      <c r="C16" s="192">
        <v>103</v>
      </c>
      <c r="D16" s="706" t="s">
        <v>322</v>
      </c>
      <c r="E16" s="193"/>
      <c r="F16" s="193"/>
      <c r="G16" s="189"/>
      <c r="H16" s="189"/>
      <c r="I16" s="189"/>
      <c r="J16" s="189"/>
      <c r="K16" s="189"/>
    </row>
    <row r="17" spans="1:11" ht="15" customHeight="1" x14ac:dyDescent="0.25">
      <c r="A17" s="295"/>
      <c r="B17" s="192"/>
      <c r="C17" s="198"/>
      <c r="D17" s="184"/>
      <c r="E17" s="184"/>
      <c r="F17" s="184"/>
      <c r="G17" s="184"/>
      <c r="H17" s="189"/>
      <c r="I17" s="189"/>
      <c r="J17" s="189"/>
      <c r="K17" s="189"/>
    </row>
    <row r="18" spans="1:11" ht="15" customHeight="1" x14ac:dyDescent="0.25">
      <c r="A18" s="294" t="str">
        <f>IF(OR($F$5=2,$F$5=4),"if applicable","N/A")</f>
        <v>N/A</v>
      </c>
      <c r="B18" s="192">
        <v>105</v>
      </c>
      <c r="C18" s="621" t="s">
        <v>275</v>
      </c>
      <c r="D18" s="184"/>
      <c r="E18" s="184"/>
      <c r="F18" s="184"/>
      <c r="G18" s="184"/>
      <c r="H18" s="189"/>
      <c r="I18" s="189"/>
      <c r="J18" s="189"/>
      <c r="K18" s="189"/>
    </row>
    <row r="19" spans="1:11" ht="15" customHeight="1" x14ac:dyDescent="0.25">
      <c r="A19" s="295"/>
      <c r="B19" s="192"/>
      <c r="C19" s="198"/>
      <c r="D19" s="184"/>
      <c r="E19" s="184"/>
      <c r="F19" s="184"/>
      <c r="G19" s="184"/>
      <c r="H19" s="189"/>
      <c r="I19" s="189"/>
      <c r="J19" s="189"/>
      <c r="K19" s="189"/>
    </row>
    <row r="20" spans="1:11" ht="15" customHeight="1" x14ac:dyDescent="0.25">
      <c r="A20" s="295"/>
      <c r="B20" s="192">
        <v>110</v>
      </c>
      <c r="C20" s="198" t="s">
        <v>37</v>
      </c>
      <c r="D20" s="184"/>
      <c r="E20" s="184"/>
      <c r="F20" s="184"/>
      <c r="G20" s="184"/>
      <c r="H20" s="189"/>
      <c r="I20" s="189"/>
      <c r="J20" s="189"/>
      <c r="K20" s="189"/>
    </row>
    <row r="21" spans="1:11" ht="15" customHeight="1" x14ac:dyDescent="0.25">
      <c r="A21" s="631" t="str">
        <f>IF(AND($F$5=2,M8=TRUE),"Required","N/A")</f>
        <v>N/A</v>
      </c>
      <c r="B21" s="192"/>
      <c r="C21" s="192">
        <v>111</v>
      </c>
      <c r="D21" s="224" t="s">
        <v>141</v>
      </c>
      <c r="E21" s="193"/>
      <c r="F21" s="193"/>
      <c r="G21" s="189"/>
      <c r="H21" s="189"/>
      <c r="I21" s="189"/>
      <c r="J21" s="189"/>
      <c r="K21" s="189"/>
    </row>
    <row r="22" spans="1:11" ht="15" customHeight="1" x14ac:dyDescent="0.25">
      <c r="A22" s="294" t="str">
        <f>IF($F$5=4,"Required","N/A")</f>
        <v>N/A</v>
      </c>
      <c r="B22" s="192"/>
      <c r="C22" s="192">
        <v>112</v>
      </c>
      <c r="D22" s="224" t="s">
        <v>142</v>
      </c>
      <c r="E22" s="193"/>
      <c r="F22" s="193"/>
      <c r="G22" s="189"/>
      <c r="H22" s="189"/>
      <c r="I22" s="189"/>
      <c r="J22" s="189"/>
      <c r="K22" s="189"/>
    </row>
    <row r="23" spans="1:11" ht="15" customHeight="1" x14ac:dyDescent="0.25">
      <c r="A23" s="294" t="str">
        <f>IF($F$5=4,"Required","N/A")</f>
        <v>N/A</v>
      </c>
      <c r="B23" s="192"/>
      <c r="C23" s="192">
        <v>113</v>
      </c>
      <c r="D23" s="224" t="s">
        <v>143</v>
      </c>
      <c r="E23" s="193"/>
      <c r="F23" s="193"/>
      <c r="G23" s="189"/>
      <c r="H23" s="189"/>
      <c r="I23" s="189"/>
      <c r="J23" s="189"/>
      <c r="K23" s="189"/>
    </row>
    <row r="24" spans="1:11" ht="15" customHeight="1" x14ac:dyDescent="0.25">
      <c r="A24" s="295"/>
      <c r="B24" s="192"/>
      <c r="C24" s="198"/>
      <c r="D24" s="184"/>
      <c r="E24" s="184"/>
      <c r="F24" s="184"/>
      <c r="G24" s="184"/>
      <c r="H24" s="189"/>
      <c r="I24" s="189"/>
      <c r="J24" s="189"/>
      <c r="K24" s="189"/>
    </row>
    <row r="25" spans="1:11" ht="15" customHeight="1" x14ac:dyDescent="0.25">
      <c r="A25" s="631" t="str">
        <f>IF(AND($F$5=2,M8=TRUE),"Required","if applicable")</f>
        <v>if applicable</v>
      </c>
      <c r="B25" s="192">
        <v>115</v>
      </c>
      <c r="C25" s="224" t="s">
        <v>170</v>
      </c>
      <c r="D25" s="184"/>
      <c r="E25" s="184"/>
      <c r="F25" s="184"/>
      <c r="G25" s="184"/>
      <c r="H25" s="189"/>
      <c r="I25" s="189"/>
      <c r="J25" s="189"/>
      <c r="K25" s="189"/>
    </row>
    <row r="26" spans="1:11" ht="15" customHeight="1" x14ac:dyDescent="0.25">
      <c r="A26" s="295"/>
      <c r="B26" s="192"/>
      <c r="C26" s="198"/>
      <c r="D26" s="184"/>
      <c r="E26" s="184"/>
      <c r="F26" s="184"/>
      <c r="G26" s="184"/>
      <c r="H26" s="189"/>
      <c r="I26" s="189"/>
      <c r="J26" s="189"/>
      <c r="K26" s="189"/>
    </row>
    <row r="27" spans="1:11" ht="15" customHeight="1" x14ac:dyDescent="0.25">
      <c r="A27" s="295"/>
      <c r="B27" s="192">
        <v>120</v>
      </c>
      <c r="C27" s="198" t="s">
        <v>38</v>
      </c>
      <c r="D27" s="184"/>
      <c r="E27" s="184"/>
      <c r="F27" s="184"/>
      <c r="G27" s="184"/>
      <c r="H27" s="189"/>
      <c r="I27" s="189"/>
      <c r="J27" s="189"/>
      <c r="K27" s="189"/>
    </row>
    <row r="28" spans="1:11" ht="15" customHeight="1" x14ac:dyDescent="0.25">
      <c r="A28" s="294" t="str">
        <f>IF(OR($F$5=3,$F$5=5),"Required","N/A")</f>
        <v>Required</v>
      </c>
      <c r="B28" s="749" t="s">
        <v>283</v>
      </c>
      <c r="C28" s="192">
        <v>121</v>
      </c>
      <c r="D28" s="224" t="s">
        <v>171</v>
      </c>
      <c r="E28" s="193"/>
      <c r="F28" s="193"/>
      <c r="G28" s="184"/>
      <c r="H28" s="189"/>
      <c r="I28" s="189"/>
      <c r="J28" s="189"/>
      <c r="K28" s="189"/>
    </row>
    <row r="29" spans="1:11" ht="15" customHeight="1" x14ac:dyDescent="0.25">
      <c r="A29" s="631" t="str">
        <f>IF(OR($F$5=1,$F$5=5),"Required","N/A")</f>
        <v>Required</v>
      </c>
      <c r="B29" s="749"/>
      <c r="C29" s="192">
        <v>122</v>
      </c>
      <c r="D29" s="224" t="s">
        <v>144</v>
      </c>
      <c r="E29" s="193"/>
      <c r="F29" s="193"/>
      <c r="G29" s="189"/>
      <c r="H29" s="189"/>
      <c r="I29" s="189"/>
      <c r="J29" s="189"/>
      <c r="K29" s="189"/>
    </row>
    <row r="30" spans="1:11" ht="15" customHeight="1" x14ac:dyDescent="0.25">
      <c r="A30" s="294" t="str">
        <f>IF($F$5=2,"Required","N/A")</f>
        <v>N/A</v>
      </c>
      <c r="B30" s="192"/>
      <c r="C30" s="192">
        <v>123</v>
      </c>
      <c r="D30" s="224" t="s">
        <v>145</v>
      </c>
      <c r="E30" s="193"/>
      <c r="F30" s="193"/>
      <c r="G30" s="189"/>
      <c r="H30" s="189"/>
      <c r="I30" s="189"/>
      <c r="J30" s="189"/>
      <c r="K30" s="189"/>
    </row>
    <row r="31" spans="1:11" ht="15" customHeight="1" x14ac:dyDescent="0.25">
      <c r="A31" s="295"/>
      <c r="B31" s="192"/>
      <c r="C31" s="198"/>
      <c r="D31" s="184"/>
      <c r="E31" s="184"/>
      <c r="F31" s="184"/>
      <c r="G31" s="184"/>
      <c r="H31" s="189"/>
      <c r="I31" s="189"/>
      <c r="J31" s="189"/>
      <c r="K31" s="189"/>
    </row>
    <row r="32" spans="1:11" ht="15" customHeight="1" x14ac:dyDescent="0.25">
      <c r="A32" s="195"/>
      <c r="B32" s="192">
        <v>125</v>
      </c>
      <c r="C32" s="198" t="s">
        <v>39</v>
      </c>
      <c r="D32" s="184"/>
      <c r="E32" s="184"/>
      <c r="F32" s="184"/>
      <c r="G32" s="184"/>
      <c r="H32" s="189"/>
      <c r="I32" s="189"/>
      <c r="J32" s="189"/>
      <c r="K32" s="189"/>
    </row>
    <row r="33" spans="1:11" ht="15" customHeight="1" x14ac:dyDescent="0.25">
      <c r="A33" s="294" t="str">
        <f>IF($F$5=2,"Required","N/A")</f>
        <v>N/A</v>
      </c>
      <c r="B33" s="192"/>
      <c r="C33" s="192">
        <v>126</v>
      </c>
      <c r="D33" s="224" t="s">
        <v>146</v>
      </c>
      <c r="E33" s="193"/>
      <c r="F33" s="193"/>
      <c r="G33" s="189"/>
      <c r="H33" s="189"/>
      <c r="I33" s="189"/>
      <c r="J33" s="189"/>
      <c r="K33" s="189"/>
    </row>
    <row r="34" spans="1:11" ht="15" customHeight="1" x14ac:dyDescent="0.25">
      <c r="A34" s="294" t="str">
        <f>IF($F$5=4,"Required","N/A")</f>
        <v>N/A</v>
      </c>
      <c r="B34" s="192"/>
      <c r="C34" s="192">
        <v>127</v>
      </c>
      <c r="D34" s="224" t="s">
        <v>147</v>
      </c>
      <c r="E34" s="193"/>
      <c r="F34" s="193"/>
      <c r="G34" s="189"/>
      <c r="H34" s="189"/>
      <c r="I34" s="189"/>
      <c r="J34" s="189"/>
      <c r="K34" s="189"/>
    </row>
    <row r="35" spans="1:11" ht="15" customHeight="1" x14ac:dyDescent="0.25">
      <c r="A35" s="294" t="str">
        <f>IF($F$5=4,"if applicable","N/A")</f>
        <v>N/A</v>
      </c>
      <c r="B35" s="192"/>
      <c r="C35" s="192">
        <v>128</v>
      </c>
      <c r="D35" s="224" t="s">
        <v>148</v>
      </c>
      <c r="E35" s="193"/>
      <c r="F35" s="193"/>
      <c r="G35" s="189"/>
      <c r="H35" s="189"/>
      <c r="I35" s="189"/>
      <c r="J35" s="189"/>
      <c r="K35" s="189"/>
    </row>
    <row r="36" spans="1:11" ht="15" customHeight="1" x14ac:dyDescent="0.25">
      <c r="A36" s="295"/>
      <c r="B36" s="192"/>
      <c r="C36" s="198"/>
      <c r="D36" s="184"/>
      <c r="E36" s="184"/>
      <c r="F36" s="184"/>
      <c r="G36" s="184"/>
      <c r="H36" s="189"/>
      <c r="I36" s="189"/>
      <c r="J36" s="189"/>
      <c r="K36" s="189"/>
    </row>
    <row r="37" spans="1:11" ht="15" customHeight="1" x14ac:dyDescent="0.25">
      <c r="A37" s="294" t="str">
        <f>IF(OR($F$5=2,$F$5=4),"Required","N/A")</f>
        <v>N/A</v>
      </c>
      <c r="B37" s="192">
        <v>130</v>
      </c>
      <c r="C37" s="224" t="s">
        <v>149</v>
      </c>
      <c r="D37" s="189"/>
      <c r="E37" s="189"/>
      <c r="F37" s="189"/>
      <c r="G37" s="184"/>
      <c r="H37" s="189"/>
      <c r="I37" s="189"/>
      <c r="J37" s="189"/>
      <c r="K37" s="189"/>
    </row>
    <row r="38" spans="1:11" ht="15" customHeight="1" x14ac:dyDescent="0.25">
      <c r="A38" s="295"/>
      <c r="B38" s="192"/>
      <c r="C38" s="198"/>
      <c r="D38" s="184"/>
      <c r="E38" s="184"/>
      <c r="F38" s="184"/>
      <c r="G38" s="184"/>
      <c r="H38" s="189"/>
      <c r="I38" s="189"/>
      <c r="J38" s="189"/>
      <c r="K38" s="189"/>
    </row>
    <row r="39" spans="1:11" ht="15" customHeight="1" x14ac:dyDescent="0.25">
      <c r="A39" s="295"/>
      <c r="B39" s="192">
        <v>135</v>
      </c>
      <c r="C39" s="198" t="s">
        <v>40</v>
      </c>
      <c r="D39" s="184"/>
      <c r="E39" s="184"/>
      <c r="F39" s="184"/>
      <c r="G39" s="184"/>
      <c r="H39" s="189"/>
      <c r="I39" s="189"/>
      <c r="J39" s="189"/>
      <c r="K39" s="189"/>
    </row>
    <row r="40" spans="1:11" ht="15" customHeight="1" x14ac:dyDescent="0.25">
      <c r="A40" s="294" t="str">
        <f>IF($F$5=4,"if applicable","N/A")</f>
        <v>N/A</v>
      </c>
      <c r="B40" s="192"/>
      <c r="C40" s="192">
        <v>136</v>
      </c>
      <c r="D40" s="224" t="s">
        <v>150</v>
      </c>
      <c r="E40" s="193"/>
      <c r="F40" s="193"/>
      <c r="G40" s="189"/>
      <c r="H40" s="189"/>
      <c r="I40" s="189"/>
      <c r="J40" s="189"/>
      <c r="K40" s="189"/>
    </row>
    <row r="41" spans="1:11" ht="15" customHeight="1" x14ac:dyDescent="0.25">
      <c r="A41" s="294" t="str">
        <f>IF($F$5=4,"if applicable","N/A")</f>
        <v>N/A</v>
      </c>
      <c r="B41" s="192"/>
      <c r="C41" s="192">
        <v>137</v>
      </c>
      <c r="D41" s="224" t="s">
        <v>151</v>
      </c>
      <c r="E41" s="193"/>
      <c r="F41" s="193"/>
      <c r="G41" s="189"/>
      <c r="H41" s="189"/>
      <c r="I41" s="189"/>
      <c r="J41" s="189"/>
      <c r="K41" s="189"/>
    </row>
    <row r="42" spans="1:11" ht="15" customHeight="1" x14ac:dyDescent="0.25">
      <c r="A42" s="295"/>
      <c r="B42" s="192"/>
      <c r="C42" s="199"/>
      <c r="D42" s="189"/>
      <c r="E42" s="189"/>
      <c r="F42" s="189"/>
      <c r="G42" s="184"/>
      <c r="H42" s="189"/>
      <c r="I42" s="189"/>
      <c r="J42" s="189"/>
      <c r="K42" s="189"/>
    </row>
    <row r="43" spans="1:11" ht="15" customHeight="1" x14ac:dyDescent="0.25">
      <c r="A43" s="296" t="s">
        <v>138</v>
      </c>
      <c r="B43" s="192">
        <v>140</v>
      </c>
      <c r="C43" s="198" t="s">
        <v>152</v>
      </c>
      <c r="D43" s="189"/>
      <c r="E43" s="189"/>
      <c r="F43" s="189"/>
      <c r="G43" s="184"/>
      <c r="H43" s="189"/>
      <c r="I43" s="189"/>
      <c r="J43" s="189"/>
      <c r="K43" s="189"/>
    </row>
    <row r="44" spans="1:11" ht="15" customHeight="1" x14ac:dyDescent="0.25">
      <c r="A44" s="295"/>
      <c r="B44" s="192"/>
      <c r="C44" s="199"/>
      <c r="D44" s="189"/>
      <c r="E44" s="189"/>
      <c r="F44" s="189"/>
      <c r="G44" s="184"/>
      <c r="H44" s="189"/>
      <c r="I44" s="189"/>
      <c r="J44" s="189"/>
      <c r="K44" s="189"/>
    </row>
    <row r="45" spans="1:11" ht="15" customHeight="1" x14ac:dyDescent="0.25">
      <c r="A45" s="295"/>
      <c r="B45" s="192">
        <v>145</v>
      </c>
      <c r="C45" s="198" t="s">
        <v>41</v>
      </c>
      <c r="D45" s="189"/>
      <c r="E45" s="189"/>
      <c r="F45" s="189"/>
      <c r="G45" s="184"/>
      <c r="H45" s="189"/>
      <c r="I45" s="189"/>
      <c r="J45" s="189"/>
      <c r="K45" s="189"/>
    </row>
    <row r="46" spans="1:11" ht="15" customHeight="1" x14ac:dyDescent="0.25">
      <c r="A46" s="294" t="str">
        <f>IF($F$5=4,"if applicable","N/A")</f>
        <v>N/A</v>
      </c>
      <c r="B46" s="192"/>
      <c r="C46" s="192">
        <v>146</v>
      </c>
      <c r="D46" s="184" t="s">
        <v>153</v>
      </c>
      <c r="E46" s="184"/>
      <c r="F46" s="184"/>
      <c r="G46" s="189"/>
      <c r="H46" s="189"/>
      <c r="I46" s="189"/>
      <c r="J46" s="189"/>
      <c r="K46" s="189"/>
    </row>
    <row r="47" spans="1:11" ht="15" customHeight="1" x14ac:dyDescent="0.25">
      <c r="A47" s="294" t="str">
        <f>IF($F$5=4,"if applicable","N/A")</f>
        <v>N/A</v>
      </c>
      <c r="B47" s="192"/>
      <c r="C47" s="192">
        <v>147</v>
      </c>
      <c r="D47" s="224" t="s">
        <v>154</v>
      </c>
      <c r="E47" s="193"/>
      <c r="F47" s="193"/>
      <c r="G47" s="189"/>
      <c r="H47" s="189"/>
      <c r="I47" s="189"/>
      <c r="J47" s="189"/>
      <c r="K47" s="189"/>
    </row>
    <row r="48" spans="1:11" ht="15" customHeight="1" x14ac:dyDescent="0.25">
      <c r="A48" s="295"/>
      <c r="B48" s="192"/>
      <c r="C48" s="198"/>
      <c r="D48" s="189"/>
      <c r="E48" s="189"/>
      <c r="F48" s="189"/>
      <c r="G48" s="184"/>
      <c r="H48" s="189"/>
      <c r="I48" s="189"/>
      <c r="J48" s="189"/>
      <c r="K48" s="189"/>
    </row>
    <row r="49" spans="1:11" ht="15" customHeight="1" x14ac:dyDescent="0.25">
      <c r="A49" s="185"/>
      <c r="B49" s="194" t="s">
        <v>155</v>
      </c>
      <c r="C49" s="198"/>
      <c r="D49" s="184"/>
      <c r="E49" s="184"/>
      <c r="F49" s="184"/>
      <c r="G49" s="184"/>
      <c r="H49" s="189"/>
      <c r="I49" s="189"/>
      <c r="J49" s="189"/>
      <c r="K49" s="189"/>
    </row>
    <row r="50" spans="1:11" ht="15" customHeight="1" x14ac:dyDescent="0.25">
      <c r="A50" s="294" t="str">
        <f>IF(OR($F$5=2,$F$5=4),"if applicable","N/A")</f>
        <v>N/A</v>
      </c>
      <c r="B50" s="192">
        <v>200</v>
      </c>
      <c r="C50" s="224" t="s">
        <v>156</v>
      </c>
      <c r="D50" s="184"/>
      <c r="E50" s="184"/>
      <c r="F50" s="184"/>
      <c r="G50" s="184"/>
      <c r="H50" s="189"/>
      <c r="I50" s="189"/>
      <c r="J50" s="189"/>
      <c r="K50" s="189"/>
    </row>
    <row r="51" spans="1:11" ht="15" customHeight="1" x14ac:dyDescent="0.25">
      <c r="A51" s="295"/>
      <c r="B51" s="192"/>
      <c r="C51" s="198"/>
      <c r="D51" s="184"/>
      <c r="E51" s="184"/>
      <c r="F51" s="184"/>
      <c r="G51" s="184"/>
      <c r="H51" s="189"/>
      <c r="I51" s="189"/>
      <c r="J51" s="189"/>
      <c r="K51" s="189"/>
    </row>
    <row r="52" spans="1:11" ht="15" customHeight="1" x14ac:dyDescent="0.25">
      <c r="A52" s="295"/>
      <c r="B52" s="192">
        <v>205</v>
      </c>
      <c r="C52" s="198" t="s">
        <v>1</v>
      </c>
      <c r="D52" s="184"/>
      <c r="E52" s="184"/>
      <c r="F52" s="184"/>
      <c r="G52" s="184"/>
      <c r="H52" s="189"/>
      <c r="I52" s="189"/>
      <c r="J52" s="189"/>
      <c r="K52" s="189"/>
    </row>
    <row r="53" spans="1:11" ht="15" customHeight="1" x14ac:dyDescent="0.25">
      <c r="A53" s="296" t="s">
        <v>68</v>
      </c>
      <c r="B53" s="192"/>
      <c r="C53" s="192">
        <v>206</v>
      </c>
      <c r="D53" s="184" t="s">
        <v>157</v>
      </c>
      <c r="E53" s="184"/>
      <c r="F53" s="184"/>
      <c r="G53" s="184"/>
      <c r="H53" s="189"/>
      <c r="I53" s="189"/>
      <c r="J53" s="189"/>
      <c r="K53" s="189"/>
    </row>
    <row r="54" spans="1:11" ht="15" customHeight="1" x14ac:dyDescent="0.25">
      <c r="A54" s="296" t="s">
        <v>68</v>
      </c>
      <c r="B54" s="192"/>
      <c r="C54" s="192">
        <v>207</v>
      </c>
      <c r="D54" s="184" t="s">
        <v>158</v>
      </c>
      <c r="E54" s="184"/>
      <c r="F54" s="184"/>
      <c r="G54" s="189"/>
      <c r="H54" s="189"/>
      <c r="I54" s="189"/>
      <c r="J54" s="189"/>
      <c r="K54" s="189"/>
    </row>
    <row r="55" spans="1:11" ht="15" customHeight="1" x14ac:dyDescent="0.25">
      <c r="A55" s="294" t="str">
        <f>IF($F$5=2,"Required","N/A")</f>
        <v>N/A</v>
      </c>
      <c r="B55" s="192"/>
      <c r="C55" s="192">
        <v>208</v>
      </c>
      <c r="D55" s="224" t="s">
        <v>159</v>
      </c>
      <c r="E55" s="193"/>
      <c r="F55" s="193"/>
      <c r="G55" s="189"/>
      <c r="H55" s="189"/>
      <c r="I55" s="189"/>
      <c r="J55" s="189"/>
      <c r="K55" s="189"/>
    </row>
    <row r="56" spans="1:11" ht="15" customHeight="1" x14ac:dyDescent="0.25">
      <c r="A56" s="294" t="str">
        <f>IF($F$5=4,"Required","N/A")</f>
        <v>N/A</v>
      </c>
      <c r="B56" s="192"/>
      <c r="C56" s="192">
        <v>209</v>
      </c>
      <c r="D56" s="224" t="s">
        <v>160</v>
      </c>
      <c r="E56" s="193"/>
      <c r="F56" s="193"/>
      <c r="G56" s="189"/>
      <c r="H56" s="189"/>
      <c r="I56" s="189"/>
      <c r="J56" s="189"/>
      <c r="K56" s="189"/>
    </row>
    <row r="57" spans="1:11" ht="15" customHeight="1" x14ac:dyDescent="0.25">
      <c r="A57" s="295"/>
      <c r="B57" s="192"/>
      <c r="C57" s="198"/>
      <c r="D57" s="184"/>
      <c r="E57" s="184"/>
      <c r="F57" s="184"/>
      <c r="G57" s="184"/>
      <c r="H57" s="189"/>
      <c r="I57" s="189"/>
      <c r="J57" s="189"/>
      <c r="K57" s="189"/>
    </row>
    <row r="58" spans="1:11" ht="15" customHeight="1" x14ac:dyDescent="0.25">
      <c r="A58" s="195"/>
      <c r="B58" s="192">
        <v>210</v>
      </c>
      <c r="C58" s="198" t="s">
        <v>276</v>
      </c>
      <c r="D58" s="184"/>
      <c r="E58" s="184"/>
      <c r="F58" s="184"/>
      <c r="G58" s="184"/>
      <c r="H58" s="189"/>
      <c r="I58" s="189"/>
      <c r="J58" s="189"/>
      <c r="K58" s="189"/>
    </row>
    <row r="59" spans="1:11" ht="15" customHeight="1" x14ac:dyDescent="0.25">
      <c r="A59" s="296" t="s">
        <v>138</v>
      </c>
      <c r="B59" s="192"/>
      <c r="C59" s="192">
        <v>211</v>
      </c>
      <c r="D59" s="621" t="s">
        <v>273</v>
      </c>
      <c r="E59" s="193"/>
      <c r="F59" s="193"/>
      <c r="G59" s="184"/>
      <c r="H59" s="189"/>
      <c r="I59" s="189"/>
      <c r="J59" s="189"/>
      <c r="K59" s="189"/>
    </row>
    <row r="60" spans="1:11" ht="15" customHeight="1" x14ac:dyDescent="0.25">
      <c r="A60" s="296" t="s">
        <v>138</v>
      </c>
      <c r="B60" s="192"/>
      <c r="C60" s="192">
        <v>212</v>
      </c>
      <c r="D60" s="621" t="s">
        <v>274</v>
      </c>
      <c r="E60" s="193"/>
      <c r="F60" s="193"/>
      <c r="G60" s="184"/>
      <c r="H60" s="189"/>
      <c r="I60" s="189"/>
      <c r="J60" s="189"/>
      <c r="K60" s="189"/>
    </row>
    <row r="61" spans="1:11" ht="15" customHeight="1" x14ac:dyDescent="0.25">
      <c r="A61" s="295"/>
      <c r="B61" s="192"/>
      <c r="C61" s="198"/>
      <c r="D61" s="184"/>
      <c r="E61" s="184"/>
      <c r="F61" s="184"/>
      <c r="G61" s="184"/>
      <c r="H61" s="189"/>
      <c r="I61" s="189"/>
      <c r="J61" s="189"/>
      <c r="K61" s="189"/>
    </row>
    <row r="62" spans="1:11" ht="15" customHeight="1" x14ac:dyDescent="0.25">
      <c r="A62" s="185"/>
      <c r="B62" s="194" t="s">
        <v>161</v>
      </c>
      <c r="C62" s="198"/>
      <c r="D62" s="184"/>
      <c r="E62" s="184"/>
      <c r="F62" s="184"/>
      <c r="G62" s="184"/>
      <c r="H62" s="189"/>
      <c r="I62" s="189"/>
      <c r="J62" s="189"/>
      <c r="K62" s="189"/>
    </row>
    <row r="63" spans="1:11" ht="15" customHeight="1" x14ac:dyDescent="0.25">
      <c r="A63" s="294" t="str">
        <f>IF(OR($F$5=2,$F$5=4),"Required","N/A")</f>
        <v>N/A</v>
      </c>
      <c r="B63" s="192">
        <v>300</v>
      </c>
      <c r="C63" s="198" t="s">
        <v>163</v>
      </c>
      <c r="D63" s="184"/>
      <c r="E63" s="184"/>
      <c r="F63" s="184"/>
      <c r="G63" s="184"/>
      <c r="H63" s="189"/>
      <c r="I63" s="189"/>
      <c r="J63" s="189"/>
      <c r="K63" s="189"/>
    </row>
    <row r="64" spans="1:11" ht="15" customHeight="1" x14ac:dyDescent="0.25">
      <c r="A64" s="295"/>
      <c r="B64" s="192"/>
      <c r="C64" s="198"/>
      <c r="D64" s="184"/>
      <c r="E64" s="184"/>
      <c r="F64" s="184"/>
      <c r="G64" s="184"/>
      <c r="H64" s="189"/>
      <c r="I64" s="189"/>
      <c r="J64" s="189"/>
      <c r="K64" s="189"/>
    </row>
    <row r="65" spans="1:14" ht="15" customHeight="1" x14ac:dyDescent="0.25">
      <c r="A65" s="294" t="str">
        <f>IF(OR($F$5=2,$F$5=4),"Required","N/A")</f>
        <v>N/A</v>
      </c>
      <c r="B65" s="192">
        <v>305</v>
      </c>
      <c r="C65" s="198" t="s">
        <v>162</v>
      </c>
      <c r="D65" s="184"/>
      <c r="E65" s="184"/>
      <c r="F65" s="184"/>
      <c r="G65" s="184"/>
      <c r="H65" s="189"/>
      <c r="I65" s="189"/>
      <c r="J65" s="189"/>
      <c r="K65" s="189"/>
    </row>
    <row r="66" spans="1:14" ht="15" customHeight="1" x14ac:dyDescent="0.25">
      <c r="A66" s="295"/>
      <c r="B66" s="192"/>
      <c r="C66" s="198"/>
      <c r="D66" s="184"/>
      <c r="E66" s="184"/>
      <c r="F66" s="184"/>
      <c r="G66" s="184"/>
      <c r="H66" s="189"/>
      <c r="I66" s="189"/>
      <c r="J66" s="189"/>
      <c r="K66" s="189"/>
    </row>
    <row r="67" spans="1:14" s="626" customFormat="1" ht="15" customHeight="1" x14ac:dyDescent="0.25">
      <c r="A67" s="631" t="str">
        <f>IF($F$5=2,"Required","N/A")</f>
        <v>N/A</v>
      </c>
      <c r="B67" s="628">
        <v>310</v>
      </c>
      <c r="C67" s="703" t="s">
        <v>319</v>
      </c>
      <c r="D67" s="625"/>
      <c r="E67" s="625"/>
      <c r="F67" s="625"/>
      <c r="G67" s="625"/>
      <c r="H67" s="627"/>
      <c r="I67" s="627"/>
      <c r="J67" s="627"/>
      <c r="K67" s="627"/>
    </row>
    <row r="68" spans="1:14" ht="15" customHeight="1" x14ac:dyDescent="0.25">
      <c r="A68" s="631" t="str">
        <f>IF($F$5=2,"Required","N/A")</f>
        <v>N/A</v>
      </c>
      <c r="B68" s="192">
        <v>311</v>
      </c>
      <c r="C68" s="198" t="s">
        <v>320</v>
      </c>
      <c r="D68" s="184"/>
      <c r="E68" s="184"/>
      <c r="F68" s="184"/>
      <c r="G68" s="184"/>
      <c r="H68" s="189"/>
      <c r="I68" s="189"/>
      <c r="J68" s="189"/>
      <c r="K68" s="189"/>
    </row>
    <row r="69" spans="1:14" ht="14.25" customHeight="1" x14ac:dyDescent="0.25">
      <c r="A69" s="295"/>
      <c r="B69" s="192"/>
      <c r="C69" s="198"/>
      <c r="D69" s="184"/>
      <c r="E69" s="184"/>
      <c r="F69" s="184"/>
      <c r="G69" s="184"/>
      <c r="K69" s="189"/>
    </row>
    <row r="70" spans="1:14" ht="15" customHeight="1" x14ac:dyDescent="0.25">
      <c r="A70" s="735" t="str">
        <f>IF(M8=TRUE,"Required","N/A")</f>
        <v>N/A</v>
      </c>
      <c r="B70" s="192">
        <v>320</v>
      </c>
      <c r="C70" s="371" t="s">
        <v>228</v>
      </c>
      <c r="D70" s="184"/>
      <c r="E70" s="740" t="s">
        <v>280</v>
      </c>
      <c r="F70" s="741" t="s">
        <v>281</v>
      </c>
      <c r="G70" s="742"/>
      <c r="H70" s="750" t="s">
        <v>264</v>
      </c>
      <c r="I70" s="750"/>
      <c r="J70" s="751"/>
      <c r="K70" s="189"/>
      <c r="N70" s="197"/>
    </row>
    <row r="71" spans="1:14" ht="15" customHeight="1" x14ac:dyDescent="0.25">
      <c r="A71" s="736"/>
      <c r="B71" s="192">
        <v>321</v>
      </c>
      <c r="C71" s="371" t="s">
        <v>229</v>
      </c>
      <c r="D71" s="184"/>
      <c r="E71" s="740"/>
      <c r="F71" s="743"/>
      <c r="G71" s="744"/>
      <c r="H71" s="733" t="str">
        <f>+IF(F75="",F70,F75)</f>
        <v xml:space="preserve"> </v>
      </c>
      <c r="I71" s="733"/>
      <c r="J71" s="734"/>
      <c r="K71" s="189"/>
      <c r="N71" s="197"/>
    </row>
    <row r="72" spans="1:14" s="626" customFormat="1" ht="15" customHeight="1" x14ac:dyDescent="0.25">
      <c r="A72" s="632"/>
      <c r="B72" s="628"/>
      <c r="C72" s="371"/>
      <c r="D72" s="625"/>
      <c r="E72" s="624"/>
      <c r="F72" s="623"/>
      <c r="G72" s="623"/>
      <c r="H72" s="737"/>
      <c r="I72" s="737"/>
      <c r="J72" s="737"/>
      <c r="K72" s="627"/>
      <c r="N72" s="630"/>
    </row>
    <row r="73" spans="1:14" s="626" customFormat="1" ht="29.25" customHeight="1" x14ac:dyDescent="0.25">
      <c r="A73" s="685" t="str">
        <f>+IF(A70="N/A","N/A","applicalble if building permit")</f>
        <v>N/A</v>
      </c>
      <c r="B73" s="628">
        <v>322</v>
      </c>
      <c r="C73" s="629" t="s">
        <v>282</v>
      </c>
      <c r="D73" s="625"/>
      <c r="E73" s="624"/>
      <c r="F73" s="623"/>
      <c r="G73" s="623"/>
      <c r="H73" s="737"/>
      <c r="I73" s="737"/>
      <c r="J73" s="737"/>
      <c r="K73" s="627"/>
      <c r="N73" s="630"/>
    </row>
    <row r="74" spans="1:14" ht="15" customHeight="1" x14ac:dyDescent="0.25">
      <c r="A74" s="295"/>
      <c r="B74" s="192"/>
      <c r="C74" s="198"/>
      <c r="D74" s="184"/>
      <c r="E74" s="184"/>
      <c r="F74" s="184"/>
      <c r="G74" s="184"/>
      <c r="H74" s="737"/>
      <c r="I74" s="737"/>
      <c r="J74" s="737"/>
      <c r="K74" s="189"/>
    </row>
    <row r="75" spans="1:14" ht="15" customHeight="1" x14ac:dyDescent="0.25">
      <c r="A75" s="631" t="str">
        <f>IF(AND(IF(OR($F$5=2,$F$5=5),M8=TRUE)),"Required","N/A")</f>
        <v>N/A</v>
      </c>
      <c r="B75" s="192">
        <v>325</v>
      </c>
      <c r="C75" s="224" t="s">
        <v>172</v>
      </c>
      <c r="D75" s="184"/>
      <c r="E75" s="184" t="s">
        <v>280</v>
      </c>
      <c r="F75" s="738"/>
      <c r="G75" s="739"/>
      <c r="H75" s="737"/>
      <c r="I75" s="737"/>
      <c r="J75" s="737"/>
      <c r="K75" s="189"/>
    </row>
    <row r="76" spans="1:14" ht="15" customHeight="1" x14ac:dyDescent="0.25">
      <c r="A76" s="632"/>
      <c r="B76" s="192"/>
      <c r="C76" s="198"/>
      <c r="D76" s="184"/>
      <c r="E76" s="184"/>
      <c r="F76" s="184"/>
      <c r="G76" s="184"/>
      <c r="H76" s="189"/>
      <c r="I76" s="189"/>
      <c r="J76" s="189"/>
      <c r="K76" s="189"/>
    </row>
    <row r="77" spans="1:14" ht="15" customHeight="1" x14ac:dyDescent="0.25">
      <c r="A77" s="294" t="str">
        <f>IF($F$5=2,"Required","N/A")</f>
        <v>N/A</v>
      </c>
      <c r="B77" s="192">
        <v>330</v>
      </c>
      <c r="C77" s="224" t="s">
        <v>164</v>
      </c>
      <c r="D77" s="184"/>
      <c r="E77" s="184"/>
      <c r="F77" s="184"/>
      <c r="G77" s="184"/>
      <c r="H77" s="189"/>
      <c r="I77" s="189"/>
      <c r="J77" s="189"/>
      <c r="K77" s="189"/>
    </row>
    <row r="78" spans="1:14" ht="15" customHeight="1" x14ac:dyDescent="0.25">
      <c r="A78" s="295"/>
      <c r="B78" s="192"/>
      <c r="C78" s="198"/>
      <c r="D78" s="184"/>
      <c r="E78" s="184"/>
      <c r="F78" s="184"/>
      <c r="G78" s="184"/>
      <c r="H78" s="189"/>
      <c r="I78" s="189"/>
      <c r="J78" s="189"/>
      <c r="K78" s="189"/>
    </row>
    <row r="79" spans="1:14" ht="15" customHeight="1" x14ac:dyDescent="0.25">
      <c r="A79" s="185"/>
      <c r="B79" s="194" t="s">
        <v>165</v>
      </c>
      <c r="C79" s="198"/>
      <c r="D79" s="184"/>
      <c r="E79" s="184"/>
      <c r="F79" s="184"/>
      <c r="G79" s="184"/>
      <c r="H79" s="189"/>
      <c r="I79" s="189"/>
      <c r="J79" s="189"/>
      <c r="K79" s="189"/>
    </row>
    <row r="80" spans="1:14" ht="15" customHeight="1" x14ac:dyDescent="0.25">
      <c r="A80" s="296" t="s">
        <v>68</v>
      </c>
      <c r="B80" s="192">
        <v>400</v>
      </c>
      <c r="C80" s="198" t="s">
        <v>277</v>
      </c>
      <c r="D80" s="184"/>
      <c r="E80" s="184"/>
      <c r="F80" s="184"/>
      <c r="G80" s="184"/>
      <c r="H80" s="195"/>
      <c r="I80" s="189"/>
      <c r="J80" s="189"/>
      <c r="K80" s="189"/>
    </row>
    <row r="81" spans="1:11" ht="15" customHeight="1" x14ac:dyDescent="0.25">
      <c r="A81" s="185"/>
      <c r="B81" s="194"/>
      <c r="C81" s="198"/>
      <c r="D81" s="184"/>
      <c r="E81" s="184"/>
      <c r="F81" s="184"/>
      <c r="G81" s="184"/>
      <c r="H81" s="189"/>
      <c r="I81" s="189"/>
      <c r="J81" s="189"/>
      <c r="K81" s="189"/>
    </row>
    <row r="82" spans="1:11" ht="15" customHeight="1" x14ac:dyDescent="0.25">
      <c r="A82" s="296" t="s">
        <v>138</v>
      </c>
      <c r="B82" s="192">
        <v>410</v>
      </c>
      <c r="C82" s="198" t="s">
        <v>166</v>
      </c>
      <c r="D82" s="184"/>
      <c r="E82" s="184"/>
      <c r="F82" s="184"/>
      <c r="G82" s="184"/>
      <c r="H82" s="195"/>
      <c r="I82" s="189"/>
      <c r="J82" s="189"/>
      <c r="K82" s="189"/>
    </row>
    <row r="83" spans="1:11" ht="15" customHeight="1" x14ac:dyDescent="0.25">
      <c r="A83" s="195"/>
      <c r="B83" s="192"/>
      <c r="C83" s="198"/>
      <c r="D83" s="184"/>
      <c r="E83" s="184"/>
      <c r="F83" s="184"/>
      <c r="G83" s="184"/>
      <c r="H83" s="189"/>
      <c r="I83" s="189"/>
      <c r="J83" s="189"/>
      <c r="K83" s="189"/>
    </row>
    <row r="84" spans="1:11" ht="15" customHeight="1" x14ac:dyDescent="0.25">
      <c r="A84" s="185"/>
      <c r="B84" s="194" t="s">
        <v>167</v>
      </c>
      <c r="C84" s="198"/>
      <c r="D84" s="184"/>
      <c r="E84" s="184"/>
      <c r="F84" s="184"/>
      <c r="G84" s="184"/>
      <c r="H84" s="189"/>
      <c r="I84" s="189"/>
      <c r="J84" s="189"/>
      <c r="K84" s="189"/>
    </row>
    <row r="85" spans="1:11" ht="15" customHeight="1" x14ac:dyDescent="0.25">
      <c r="A85" s="631" t="str">
        <f>IF(OR($B$7=101,$B$7=102,$B$7=213),"Required","N/A")</f>
        <v>N/A</v>
      </c>
      <c r="B85" s="192">
        <v>500</v>
      </c>
      <c r="C85" s="198" t="s">
        <v>168</v>
      </c>
      <c r="D85" s="184"/>
      <c r="E85" s="184"/>
      <c r="F85" s="184"/>
      <c r="G85" s="184"/>
      <c r="H85" s="189"/>
      <c r="I85" s="189"/>
      <c r="J85" s="189"/>
      <c r="K85" s="189"/>
    </row>
    <row r="86" spans="1:11" ht="15" customHeight="1" x14ac:dyDescent="0.25">
      <c r="A86" s="295"/>
      <c r="B86" s="192"/>
      <c r="C86" s="198"/>
      <c r="D86" s="184"/>
      <c r="E86" s="184"/>
      <c r="F86" s="184"/>
      <c r="G86" s="184"/>
      <c r="H86" s="189"/>
      <c r="I86" s="189"/>
      <c r="J86" s="189"/>
      <c r="K86" s="189"/>
    </row>
    <row r="87" spans="1:11" ht="15" customHeight="1" x14ac:dyDescent="0.25">
      <c r="A87" s="296" t="s">
        <v>323</v>
      </c>
      <c r="B87" s="192">
        <v>505</v>
      </c>
      <c r="C87" s="198" t="s">
        <v>169</v>
      </c>
      <c r="D87" s="184"/>
      <c r="E87" s="184"/>
      <c r="F87" s="184"/>
      <c r="G87" s="184"/>
      <c r="H87" s="189"/>
      <c r="I87" s="189"/>
      <c r="J87" s="189"/>
      <c r="K87" s="189"/>
    </row>
    <row r="88" spans="1:11" ht="15" customHeight="1" x14ac:dyDescent="0.25">
      <c r="A88" s="195"/>
      <c r="B88" s="192"/>
      <c r="C88" s="198"/>
      <c r="D88" s="184"/>
      <c r="E88" s="184"/>
      <c r="F88" s="184"/>
      <c r="G88" s="184"/>
      <c r="H88" s="189"/>
      <c r="I88" s="189"/>
      <c r="J88" s="189"/>
      <c r="K88" s="189"/>
    </row>
    <row r="89" spans="1:11" ht="15" customHeight="1" x14ac:dyDescent="0.25">
      <c r="A89" s="185"/>
      <c r="B89" s="194" t="s">
        <v>173</v>
      </c>
      <c r="C89" s="198"/>
      <c r="D89" s="184"/>
      <c r="E89" s="184"/>
      <c r="F89" s="184"/>
      <c r="G89" s="184"/>
      <c r="H89" s="189"/>
      <c r="I89" s="728"/>
      <c r="J89" s="727"/>
      <c r="K89" s="189"/>
    </row>
    <row r="90" spans="1:11" ht="15" customHeight="1" x14ac:dyDescent="0.25">
      <c r="A90" s="296" t="s">
        <v>139</v>
      </c>
      <c r="B90" s="198" t="s">
        <v>174</v>
      </c>
      <c r="C90" s="198"/>
      <c r="D90" s="184"/>
      <c r="E90" s="184"/>
      <c r="F90" s="184"/>
      <c r="G90" s="184"/>
      <c r="H90" s="189"/>
      <c r="I90" s="727"/>
      <c r="J90" s="727"/>
      <c r="K90" s="189"/>
    </row>
    <row r="91" spans="1:11" ht="15" customHeight="1" x14ac:dyDescent="0.25">
      <c r="A91" s="729"/>
      <c r="B91" s="729"/>
      <c r="C91" s="729"/>
      <c r="D91" s="729"/>
      <c r="E91" s="729"/>
      <c r="F91" s="729"/>
      <c r="G91" s="729"/>
      <c r="H91" s="729"/>
      <c r="I91" s="728"/>
      <c r="J91" s="727"/>
      <c r="K91" s="189"/>
    </row>
    <row r="92" spans="1:11" ht="15" customHeight="1" x14ac:dyDescent="0.25">
      <c r="A92" s="185"/>
      <c r="B92" s="184"/>
      <c r="C92" s="198"/>
      <c r="D92" s="184"/>
      <c r="E92" s="184"/>
      <c r="F92" s="184"/>
      <c r="G92" s="184"/>
      <c r="H92" s="189"/>
      <c r="I92" s="201"/>
      <c r="J92" s="200"/>
      <c r="K92" s="189"/>
    </row>
    <row r="93" spans="1:11" ht="15" customHeight="1" x14ac:dyDescent="0.25">
      <c r="A93" s="185"/>
      <c r="B93" s="184"/>
      <c r="C93" s="198"/>
      <c r="D93" s="184"/>
      <c r="E93" s="184"/>
      <c r="F93" s="184"/>
      <c r="G93" s="184"/>
      <c r="H93" s="189"/>
      <c r="I93" s="201"/>
      <c r="J93" s="200"/>
      <c r="K93" s="189"/>
    </row>
    <row r="94" spans="1:11" ht="15" customHeight="1" x14ac:dyDescent="0.25">
      <c r="A94" s="725" t="s">
        <v>278</v>
      </c>
      <c r="B94" s="732"/>
      <c r="C94" s="732"/>
      <c r="D94" s="732"/>
      <c r="E94" s="732"/>
      <c r="F94" s="732"/>
      <c r="G94" s="732"/>
      <c r="H94" s="732"/>
      <c r="I94" s="189"/>
      <c r="J94" s="189"/>
      <c r="K94" s="189"/>
    </row>
    <row r="95" spans="1:11" ht="15" customHeight="1" x14ac:dyDescent="0.25">
      <c r="A95" s="198"/>
      <c r="B95" s="725" t="s">
        <v>279</v>
      </c>
      <c r="C95" s="726"/>
      <c r="D95" s="726"/>
      <c r="E95" s="726"/>
      <c r="F95" s="726"/>
      <c r="G95" s="726"/>
      <c r="H95" s="726"/>
      <c r="I95" s="189"/>
      <c r="J95" s="189"/>
      <c r="K95" s="189"/>
    </row>
    <row r="96" spans="1:11" ht="15" customHeight="1" x14ac:dyDescent="0.25">
      <c r="A96" s="195"/>
      <c r="B96" s="189"/>
      <c r="C96" s="199"/>
      <c r="D96" s="189"/>
      <c r="E96" s="189"/>
      <c r="F96" s="189"/>
      <c r="G96" s="189"/>
      <c r="H96" s="189"/>
      <c r="I96" s="189"/>
      <c r="J96" s="189"/>
      <c r="K96" s="189"/>
    </row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</sheetData>
  <mergeCells count="27">
    <mergeCell ref="B7:D7"/>
    <mergeCell ref="C8:D8"/>
    <mergeCell ref="B28:B29"/>
    <mergeCell ref="H70:J70"/>
    <mergeCell ref="L1:N1"/>
    <mergeCell ref="A1:J1"/>
    <mergeCell ref="B3:D3"/>
    <mergeCell ref="B4:D4"/>
    <mergeCell ref="B6:D6"/>
    <mergeCell ref="F4:I4"/>
    <mergeCell ref="F5:I5"/>
    <mergeCell ref="B95:H95"/>
    <mergeCell ref="I90:J90"/>
    <mergeCell ref="I91:J91"/>
    <mergeCell ref="A91:H91"/>
    <mergeCell ref="B10:D10"/>
    <mergeCell ref="A94:H94"/>
    <mergeCell ref="I89:J89"/>
    <mergeCell ref="H71:J71"/>
    <mergeCell ref="A70:A71"/>
    <mergeCell ref="H74:J74"/>
    <mergeCell ref="H75:J75"/>
    <mergeCell ref="H72:J72"/>
    <mergeCell ref="H73:J73"/>
    <mergeCell ref="F75:G75"/>
    <mergeCell ref="E70:E71"/>
    <mergeCell ref="F70:G71"/>
  </mergeCells>
  <conditionalFormatting sqref="A33:A35 A37 A40:A41 A46:A47 A50 A55:A56 A63 A65 A77 A70 A22:A23 A68 A28:A30">
    <cfRule type="containsText" dxfId="33" priority="29" operator="containsText" text="&quot;REQUIRED&quot;">
      <formula>NOT(ISERROR(SEARCH("""REQUIRED""",A22)))</formula>
    </cfRule>
    <cfRule type="cellIs" dxfId="32" priority="30" operator="equal">
      <formula>"N/A"</formula>
    </cfRule>
  </conditionalFormatting>
  <conditionalFormatting sqref="A13:A16">
    <cfRule type="containsText" dxfId="31" priority="27" operator="containsText" text="&quot;REQUIRED&quot;">
      <formula>NOT(ISERROR(SEARCH("""REQUIRED""",A13)))</formula>
    </cfRule>
    <cfRule type="cellIs" dxfId="30" priority="28" operator="equal">
      <formula>"N/A"</formula>
    </cfRule>
  </conditionalFormatting>
  <conditionalFormatting sqref="C8">
    <cfRule type="expression" dxfId="29" priority="26">
      <formula>$B8="N/A"</formula>
    </cfRule>
  </conditionalFormatting>
  <conditionalFormatting sqref="B8">
    <cfRule type="containsBlanks" dxfId="28" priority="24">
      <formula>LEN(TRIM(B8))=0</formula>
    </cfRule>
    <cfRule type="expression" dxfId="27" priority="25">
      <formula>ISNUMBER(SEARCH(501,$C$7))</formula>
    </cfRule>
  </conditionalFormatting>
  <conditionalFormatting sqref="B5:D5">
    <cfRule type="containsText" dxfId="26" priority="23" operator="containsText" text="N/A">
      <formula>NOT(ISERROR(SEARCH("N/A",B5)))</formula>
    </cfRule>
  </conditionalFormatting>
  <conditionalFormatting sqref="A18">
    <cfRule type="containsText" dxfId="25" priority="19" operator="containsText" text="&quot;REQUIRED&quot;">
      <formula>NOT(ISERROR(SEARCH("""REQUIRED""",A18)))</formula>
    </cfRule>
    <cfRule type="cellIs" dxfId="24" priority="20" operator="equal">
      <formula>"N/A"</formula>
    </cfRule>
  </conditionalFormatting>
  <conditionalFormatting sqref="A85">
    <cfRule type="containsText" dxfId="23" priority="15" operator="containsText" text="&quot;REQUIRED&quot;">
      <formula>NOT(ISERROR(SEARCH("""REQUIRED""",A85)))</formula>
    </cfRule>
    <cfRule type="cellIs" dxfId="22" priority="16" operator="equal">
      <formula>"N/A"</formula>
    </cfRule>
  </conditionalFormatting>
  <conditionalFormatting sqref="A73">
    <cfRule type="containsText" dxfId="21" priority="9" operator="containsText" text="&quot;REQUIRED&quot;">
      <formula>NOT(ISERROR(SEARCH("""REQUIRED""",A73)))</formula>
    </cfRule>
    <cfRule type="cellIs" dxfId="20" priority="10" operator="equal">
      <formula>"N/A"</formula>
    </cfRule>
  </conditionalFormatting>
  <conditionalFormatting sqref="A21">
    <cfRule type="containsText" dxfId="19" priority="7" operator="containsText" text="&quot;REQUIRED&quot;">
      <formula>NOT(ISERROR(SEARCH("""REQUIRED""",A21)))</formula>
    </cfRule>
    <cfRule type="cellIs" dxfId="18" priority="8" operator="equal">
      <formula>"N/A"</formula>
    </cfRule>
  </conditionalFormatting>
  <conditionalFormatting sqref="A75">
    <cfRule type="containsText" dxfId="17" priority="5" operator="containsText" text="&quot;REQUIRED&quot;">
      <formula>NOT(ISERROR(SEARCH("""REQUIRED""",A75)))</formula>
    </cfRule>
    <cfRule type="cellIs" dxfId="16" priority="6" operator="equal">
      <formula>"N/A"</formula>
    </cfRule>
  </conditionalFormatting>
  <conditionalFormatting sqref="A25">
    <cfRule type="containsText" dxfId="15" priority="3" operator="containsText" text="&quot;REQUIRED&quot;">
      <formula>NOT(ISERROR(SEARCH("""REQUIRED""",A25)))</formula>
    </cfRule>
    <cfRule type="cellIs" dxfId="14" priority="4" operator="equal">
      <formula>"N/A"</formula>
    </cfRule>
  </conditionalFormatting>
  <conditionalFormatting sqref="A67">
    <cfRule type="containsText" dxfId="13" priority="1" operator="containsText" text="&quot;REQUIRED&quot;">
      <formula>NOT(ISERROR(SEARCH("""REQUIRED""",A67)))</formula>
    </cfRule>
    <cfRule type="cellIs" dxfId="12" priority="2" operator="equal">
      <formula>"N/A"</formula>
    </cfRule>
  </conditionalFormatting>
  <dataValidations count="1">
    <dataValidation type="list" allowBlank="1" showInputMessage="1" showErrorMessage="1" sqref="C8:D8">
      <formula1>$L$10:$L$12</formula1>
    </dataValidation>
  </dataValidations>
  <printOptions horizontalCentered="1"/>
  <pageMargins left="0" right="0" top="0.5" bottom="0.25" header="0" footer="0"/>
  <pageSetup paperSize="5" scale="75" orientation="portrait" r:id="rId1"/>
  <headerFooter alignWithMargins="0">
    <oddHeader>&amp;LUniversité d'Ottawa/University of Ottawa
Services des immeubles/Physical Resources Service</oddHeader>
    <oddFooter>&amp;L&amp;Z&amp;F&amp;R&amp;D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6" r:id="rId4" name="Drop Down 2">
              <controlPr defaultSize="0" autoLine="0" autoPict="0">
                <anchor moveWithCells="1">
                  <from>
                    <xdr:col>5</xdr:col>
                    <xdr:colOff>0</xdr:colOff>
                    <xdr:row>4</xdr:row>
                    <xdr:rowOff>0</xdr:rowOff>
                  </from>
                  <to>
                    <xdr:col>9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J173"/>
  <sheetViews>
    <sheetView showGridLines="0" topLeftCell="A28" zoomScale="80" zoomScaleNormal="80" workbookViewId="0">
      <selection activeCell="A12" sqref="A12:D12"/>
    </sheetView>
  </sheetViews>
  <sheetFormatPr defaultRowHeight="12.75" outlineLevelRow="1" outlineLevelCol="1" x14ac:dyDescent="0.2"/>
  <cols>
    <col min="1" max="1" width="17.7109375" customWidth="1"/>
    <col min="2" max="2" width="14.28515625" customWidth="1"/>
    <col min="3" max="3" width="25" customWidth="1"/>
    <col min="4" max="4" width="12.28515625" customWidth="1"/>
    <col min="5" max="5" width="15.7109375" style="50" customWidth="1"/>
    <col min="6" max="9" width="14.42578125" style="50" hidden="1" customWidth="1" outlineLevel="1"/>
    <col min="10" max="10" width="14.42578125" hidden="1" customWidth="1" outlineLevel="1"/>
    <col min="11" max="11" width="14.140625" customWidth="1" collapsed="1"/>
    <col min="12" max="13" width="14.140625" customWidth="1"/>
    <col min="14" max="18" width="19" hidden="1" customWidth="1" outlineLevel="1"/>
    <col min="19" max="19" width="11.85546875" hidden="1" customWidth="1" outlineLevel="1"/>
    <col min="20" max="20" width="9.140625" customWidth="1" collapsed="1"/>
    <col min="21" max="25" width="9.140625" hidden="1" customWidth="1"/>
  </cols>
  <sheetData>
    <row r="1" spans="1:36" ht="15" x14ac:dyDescent="0.25">
      <c r="A1" s="1"/>
      <c r="B1" s="1"/>
      <c r="C1" s="17" t="s">
        <v>303</v>
      </c>
      <c r="D1" s="765">
        <f>+'Document Summary'!B3</f>
        <v>0</v>
      </c>
      <c r="E1" s="765"/>
      <c r="F1" s="765"/>
      <c r="G1" s="765"/>
      <c r="H1" s="765"/>
      <c r="I1" s="765"/>
      <c r="J1" s="765"/>
      <c r="K1" s="765"/>
      <c r="Y1" t="s">
        <v>132</v>
      </c>
    </row>
    <row r="2" spans="1:36" ht="15" x14ac:dyDescent="0.25">
      <c r="A2" s="58"/>
      <c r="B2" s="58"/>
      <c r="C2" s="53" t="s">
        <v>175</v>
      </c>
      <c r="D2" s="765" t="str">
        <f>+'Document Summary'!B4</f>
        <v>4001WO</v>
      </c>
      <c r="E2" s="765"/>
      <c r="F2" s="765"/>
      <c r="G2" s="765"/>
      <c r="H2" s="765"/>
      <c r="I2" s="765"/>
      <c r="J2" s="765"/>
      <c r="K2" s="765"/>
      <c r="O2" s="38"/>
      <c r="Y2" t="s">
        <v>133</v>
      </c>
    </row>
    <row r="3" spans="1:36" ht="15" x14ac:dyDescent="0.25">
      <c r="A3" s="59"/>
      <c r="B3" s="59"/>
      <c r="C3" s="17" t="s">
        <v>12</v>
      </c>
      <c r="D3" s="765" t="str">
        <f>+'Document Summary'!B6</f>
        <v>[project number]</v>
      </c>
      <c r="E3" s="765"/>
      <c r="F3" s="765"/>
      <c r="G3" s="765"/>
      <c r="H3" s="765"/>
      <c r="I3" s="765"/>
      <c r="J3" s="765"/>
      <c r="K3" s="765"/>
      <c r="O3" s="39"/>
      <c r="Y3" t="s">
        <v>134</v>
      </c>
    </row>
    <row r="4" spans="1:36" ht="15" x14ac:dyDescent="0.25">
      <c r="A4" s="1"/>
      <c r="B4" s="1"/>
      <c r="C4" s="17" t="s">
        <v>14</v>
      </c>
      <c r="D4" s="765">
        <f>+'Document Summary'!B7</f>
        <v>502</v>
      </c>
      <c r="E4" s="765"/>
      <c r="F4" s="765"/>
      <c r="G4" s="765"/>
      <c r="H4" s="765"/>
      <c r="I4" s="765"/>
      <c r="J4" s="765"/>
      <c r="K4" s="765"/>
      <c r="Y4" t="s">
        <v>135</v>
      </c>
    </row>
    <row r="5" spans="1:36" s="50" customFormat="1" ht="15" x14ac:dyDescent="0.25">
      <c r="A5" s="1"/>
      <c r="B5" s="1"/>
      <c r="C5" s="117" t="s">
        <v>91</v>
      </c>
      <c r="D5" s="765" t="str">
        <f>+'Document Summary'!B5</f>
        <v>N/A</v>
      </c>
      <c r="E5" s="765"/>
      <c r="F5" s="765"/>
      <c r="G5" s="765"/>
      <c r="H5" s="765"/>
      <c r="I5" s="765"/>
      <c r="J5" s="765"/>
      <c r="K5" s="765"/>
    </row>
    <row r="6" spans="1:36" ht="36.75" customHeight="1" x14ac:dyDescent="0.2">
      <c r="A6" s="66"/>
      <c r="K6" s="143">
        <v>1</v>
      </c>
    </row>
    <row r="7" spans="1:36" ht="24" customHeight="1" x14ac:dyDescent="0.2">
      <c r="A7" s="134" t="s">
        <v>52</v>
      </c>
      <c r="B7" s="136"/>
      <c r="C7" s="136"/>
      <c r="D7" s="136"/>
      <c r="E7" s="136"/>
      <c r="F7" s="138"/>
      <c r="G7" s="136"/>
      <c r="H7" s="136"/>
      <c r="I7" s="136"/>
      <c r="J7" s="766" t="s">
        <v>51</v>
      </c>
      <c r="K7" s="766" t="s">
        <v>43</v>
      </c>
      <c r="L7" s="763" t="s">
        <v>0</v>
      </c>
      <c r="M7" s="763" t="s">
        <v>42</v>
      </c>
      <c r="N7" s="772" t="s">
        <v>89</v>
      </c>
      <c r="O7" s="772"/>
      <c r="P7" s="772"/>
      <c r="Q7" s="772"/>
      <c r="R7" s="773"/>
      <c r="U7" s="776" t="s">
        <v>50</v>
      </c>
      <c r="V7" s="776"/>
      <c r="Y7" t="s">
        <v>311</v>
      </c>
    </row>
    <row r="8" spans="1:36" ht="15.75" customHeight="1" x14ac:dyDescent="0.2">
      <c r="A8" s="135"/>
      <c r="B8" s="137"/>
      <c r="C8" s="137"/>
      <c r="D8" s="137"/>
      <c r="E8" s="244" t="s">
        <v>254</v>
      </c>
      <c r="F8" s="244" t="s">
        <v>255</v>
      </c>
      <c r="G8" s="244" t="s">
        <v>256</v>
      </c>
      <c r="H8" s="244" t="s">
        <v>257</v>
      </c>
      <c r="I8" s="244" t="s">
        <v>258</v>
      </c>
      <c r="J8" s="767"/>
      <c r="K8" s="767"/>
      <c r="L8" s="764"/>
      <c r="M8" s="764"/>
      <c r="N8" s="243" t="str">
        <f>+E8</f>
        <v>Split #1/Fund</v>
      </c>
      <c r="O8" s="243" t="str">
        <f>+F8</f>
        <v>Split #2/Fund</v>
      </c>
      <c r="P8" s="243" t="str">
        <f>+G8</f>
        <v>Split #3/Fund</v>
      </c>
      <c r="Q8" s="243" t="str">
        <f>+H8</f>
        <v>Split #4/Fund</v>
      </c>
      <c r="R8" s="243" t="str">
        <f>+I8</f>
        <v>Split #5/Fund</v>
      </c>
      <c r="U8" s="47" t="s">
        <v>46</v>
      </c>
      <c r="V8" s="40">
        <v>0.13</v>
      </c>
      <c r="Y8" t="s">
        <v>312</v>
      </c>
    </row>
    <row r="9" spans="1:36" x14ac:dyDescent="0.2">
      <c r="A9" s="2"/>
      <c r="B9" s="3"/>
      <c r="C9" s="3"/>
      <c r="D9" s="3"/>
      <c r="E9" s="10"/>
      <c r="F9" s="145"/>
      <c r="G9" s="51"/>
      <c r="H9" s="145"/>
      <c r="I9" s="10"/>
      <c r="J9" s="10"/>
      <c r="K9" s="11"/>
      <c r="L9" s="11"/>
      <c r="M9" s="238"/>
      <c r="N9" s="60"/>
      <c r="O9" s="60"/>
      <c r="P9" s="60"/>
      <c r="Q9" s="60"/>
      <c r="R9" s="60"/>
      <c r="S9" s="62" t="s">
        <v>85</v>
      </c>
      <c r="U9" s="42" t="s">
        <v>44</v>
      </c>
      <c r="V9" s="41">
        <v>0.26230769199999998</v>
      </c>
      <c r="Y9" t="s">
        <v>313</v>
      </c>
      <c r="AJ9" s="36"/>
    </row>
    <row r="10" spans="1:36" x14ac:dyDescent="0.2">
      <c r="A10" s="682" t="s">
        <v>1</v>
      </c>
      <c r="B10" s="707" t="s">
        <v>69</v>
      </c>
      <c r="C10" s="684"/>
      <c r="D10" s="683"/>
      <c r="E10" s="148"/>
      <c r="F10" s="558"/>
      <c r="G10" s="559"/>
      <c r="H10" s="558"/>
      <c r="I10" s="560"/>
      <c r="J10" s="226">
        <f>SUM(E10:I10)</f>
        <v>0</v>
      </c>
      <c r="K10" s="67">
        <f>IF(K6=1,J10*HST,0)</f>
        <v>0</v>
      </c>
      <c r="L10" s="67">
        <f>SUM(J10:K10)</f>
        <v>0</v>
      </c>
      <c r="M10" s="165">
        <f>$J10+IF($K$6=1,$J10*HST*(1-HST_Rebate),0)</f>
        <v>0</v>
      </c>
      <c r="N10" s="72">
        <f>$E10+IF($K$6=1,E10*HST*(1-HST_Rebate),0)</f>
        <v>0</v>
      </c>
      <c r="O10" s="72">
        <f>$F10+IF($K$6=1,F10*HST*(1-HST_Rebate),0)</f>
        <v>0</v>
      </c>
      <c r="P10" s="72">
        <f>$G10+IF($K$6=1,G10*HST*(1-HST_Rebate),0)</f>
        <v>0</v>
      </c>
      <c r="Q10" s="72">
        <f>$H10+IF($K$6=1,H10*HST*(1-HST_Rebate),0)</f>
        <v>0</v>
      </c>
      <c r="R10" s="233">
        <f>$I10+IF($K$6=1,I10*HST*(1-HST_Rebate),0)</f>
        <v>0</v>
      </c>
      <c r="S10" s="63">
        <f>SUM(N10:R10)-M10</f>
        <v>0</v>
      </c>
      <c r="T10" s="33"/>
      <c r="U10" s="42" t="s">
        <v>45</v>
      </c>
      <c r="V10" s="41">
        <v>0.73769230799999996</v>
      </c>
      <c r="AJ10" s="37"/>
    </row>
    <row r="11" spans="1:36" x14ac:dyDescent="0.2">
      <c r="A11" s="102" t="s">
        <v>59</v>
      </c>
      <c r="B11" s="102"/>
      <c r="C11" s="108"/>
      <c r="D11" s="103" t="str">
        <f>IF(ISERROR(J11/J10),"",J11/J10)</f>
        <v/>
      </c>
      <c r="E11" s="175">
        <f>SUMIF($D$33:$D$42,"Validated",E33:E42)</f>
        <v>0</v>
      </c>
      <c r="F11" s="179">
        <f>SUMIF($D$33:$D$42,"Validated",F33:F42)</f>
        <v>0</v>
      </c>
      <c r="G11" s="180">
        <f>SUMIF($D$33:$D$42,"Validated",G33:G42)</f>
        <v>0</v>
      </c>
      <c r="H11" s="179">
        <f>SUMIF($D$33:$D$42,"Validated",H33:H42)</f>
        <v>0</v>
      </c>
      <c r="I11" s="175">
        <f>SUMIF($D$33:$D$42,"Validated",I33:I42)</f>
        <v>0</v>
      </c>
      <c r="J11" s="226">
        <f>SUM(E11:I11)</f>
        <v>0</v>
      </c>
      <c r="K11" s="67">
        <f>IF(K6=1,J11*HST,0)</f>
        <v>0</v>
      </c>
      <c r="L11" s="67">
        <f>SUM(J11:K11)</f>
        <v>0</v>
      </c>
      <c r="M11" s="165">
        <f>$J11+IF($K$6=1,$J11*HST*(1-HST_Rebate),0)</f>
        <v>0</v>
      </c>
      <c r="N11" s="72">
        <f>$E11+IF($K$6=1,E11*HST*(1-HST_Rebate),0)</f>
        <v>0</v>
      </c>
      <c r="O11" s="72">
        <f>$F11+IF($K$6=1,F11*HST*(1-HST_Rebate),0)</f>
        <v>0</v>
      </c>
      <c r="P11" s="72">
        <f>$G11+IF($K$6=1,G11*HST*(1-HST_Rebate),0)</f>
        <v>0</v>
      </c>
      <c r="Q11" s="72">
        <f>$H11+IF($K$6=1,H11*HST*(1-HST_Rebate),0)</f>
        <v>0</v>
      </c>
      <c r="R11" s="233">
        <f>$I11+IF($K$6=1,I11*HST*(1-HST_Rebate),0)</f>
        <v>0</v>
      </c>
      <c r="S11" s="63">
        <f t="shared" ref="S11:S29" si="0">SUM(N11:R11)-M11</f>
        <v>0</v>
      </c>
      <c r="T11" s="33"/>
    </row>
    <row r="12" spans="1:36" x14ac:dyDescent="0.2">
      <c r="A12" s="774" t="s">
        <v>65</v>
      </c>
      <c r="B12" s="775"/>
      <c r="C12" s="775"/>
      <c r="D12" s="775"/>
      <c r="E12" s="147">
        <f t="shared" ref="E12:M12" si="1">SUM(E10:E11)</f>
        <v>0</v>
      </c>
      <c r="F12" s="181">
        <f t="shared" si="1"/>
        <v>0</v>
      </c>
      <c r="G12" s="182">
        <f t="shared" si="1"/>
        <v>0</v>
      </c>
      <c r="H12" s="181">
        <f t="shared" si="1"/>
        <v>0</v>
      </c>
      <c r="I12" s="183">
        <f t="shared" si="1"/>
        <v>0</v>
      </c>
      <c r="J12" s="159">
        <f t="shared" si="1"/>
        <v>0</v>
      </c>
      <c r="K12" s="68">
        <f t="shared" si="1"/>
        <v>0</v>
      </c>
      <c r="L12" s="68">
        <f t="shared" si="1"/>
        <v>0</v>
      </c>
      <c r="M12" s="165">
        <f t="shared" si="1"/>
        <v>0</v>
      </c>
      <c r="N12" s="248">
        <f>SUM(N10:N11)</f>
        <v>0</v>
      </c>
      <c r="O12" s="248">
        <f>SUM(O10:O11)</f>
        <v>0</v>
      </c>
      <c r="P12" s="248">
        <f>SUM(P10:P11)</f>
        <v>0</v>
      </c>
      <c r="Q12" s="248">
        <f>SUM(Q10:Q11)</f>
        <v>0</v>
      </c>
      <c r="R12" s="248">
        <f>SUM(R10:R11)</f>
        <v>0</v>
      </c>
      <c r="S12" s="63">
        <f t="shared" si="0"/>
        <v>0</v>
      </c>
      <c r="T12" s="33"/>
      <c r="U12" s="50"/>
      <c r="V12" s="50"/>
    </row>
    <row r="13" spans="1:36" s="50" customFormat="1" x14ac:dyDescent="0.2">
      <c r="A13" s="106"/>
      <c r="B13" s="107"/>
      <c r="C13" s="107"/>
      <c r="D13" s="107"/>
      <c r="E13" s="150"/>
      <c r="F13" s="113"/>
      <c r="G13" s="155"/>
      <c r="H13" s="113"/>
      <c r="I13" s="150"/>
      <c r="J13" s="160">
        <f>SUM(E12:I12)-J12</f>
        <v>0</v>
      </c>
      <c r="K13" s="225"/>
      <c r="L13" s="225"/>
      <c r="M13" s="234"/>
      <c r="N13" s="232"/>
      <c r="O13" s="232"/>
      <c r="P13" s="232"/>
      <c r="Q13" s="232"/>
      <c r="R13" s="232"/>
      <c r="S13" s="63">
        <f t="shared" si="0"/>
        <v>0</v>
      </c>
      <c r="T13" s="33"/>
    </row>
    <row r="14" spans="1:36" s="50" customFormat="1" x14ac:dyDescent="0.2">
      <c r="A14" s="106" t="s">
        <v>86</v>
      </c>
      <c r="B14" s="107"/>
      <c r="C14" s="107"/>
      <c r="D14" s="103" t="e">
        <f>+J14/J12</f>
        <v>#DIV/0!</v>
      </c>
      <c r="E14" s="176">
        <f>SUMIF($D$33:$D$42,"Not Validated",E33:E42)</f>
        <v>0</v>
      </c>
      <c r="F14" s="177">
        <f>SUMIF($D$33:$D$42,"Not Validated",F33:F42)</f>
        <v>0</v>
      </c>
      <c r="G14" s="178">
        <f>SUMIF($D$33:$D$42,"Not Validated",G33:G42)</f>
        <v>0</v>
      </c>
      <c r="H14" s="177">
        <f>SUMIF($D$33:$D$42,"Not Validated",H33:H42)</f>
        <v>0</v>
      </c>
      <c r="I14" s="176">
        <f>SUMIF($D$33:$D$42,"Not Validated",I33:I42)</f>
        <v>0</v>
      </c>
      <c r="J14" s="227">
        <f>SUM(E14:I14)</f>
        <v>0</v>
      </c>
      <c r="K14" s="228">
        <f>IF(K6=1,J14*HST,0)</f>
        <v>0</v>
      </c>
      <c r="L14" s="228">
        <f>SUM(J14:K14)</f>
        <v>0</v>
      </c>
      <c r="M14" s="229">
        <f>$J14+IF($K$6=1,$J14*HST*(1-HST_Rebate),0)</f>
        <v>0</v>
      </c>
      <c r="N14" s="72">
        <f>$E14+IF($K$6=1,E14*HST*(1-HST_Rebate),0)</f>
        <v>0</v>
      </c>
      <c r="O14" s="72">
        <f>$F14+IF($K$6=1,F14*HST*(1-HST_Rebate),0)</f>
        <v>0</v>
      </c>
      <c r="P14" s="72">
        <f>$G14+IF($K$6=1,G14*HST*(1-HST_Rebate),0)</f>
        <v>0</v>
      </c>
      <c r="Q14" s="72">
        <f>$H14+IF($K$6=1,H14*HST*(1-HST_Rebate),0)</f>
        <v>0</v>
      </c>
      <c r="R14" s="233">
        <f>$I14+IF($K$6=1,I14*HST*(1-HST_Rebate),0)</f>
        <v>0</v>
      </c>
      <c r="S14" s="63">
        <f t="shared" si="0"/>
        <v>0</v>
      </c>
      <c r="T14" s="33"/>
    </row>
    <row r="15" spans="1:36" s="50" customFormat="1" ht="13.5" customHeight="1" x14ac:dyDescent="0.2">
      <c r="A15" s="106" t="s">
        <v>64</v>
      </c>
      <c r="B15" s="107"/>
      <c r="C15" s="107"/>
      <c r="D15" s="107"/>
      <c r="E15" s="175">
        <f>+E14+E12</f>
        <v>0</v>
      </c>
      <c r="F15" s="175">
        <f t="shared" ref="F15:M15" si="2">+F14+F12</f>
        <v>0</v>
      </c>
      <c r="G15" s="175">
        <f t="shared" si="2"/>
        <v>0</v>
      </c>
      <c r="H15" s="175">
        <f t="shared" si="2"/>
        <v>0</v>
      </c>
      <c r="I15" s="175">
        <f t="shared" si="2"/>
        <v>0</v>
      </c>
      <c r="J15" s="240">
        <f t="shared" si="2"/>
        <v>0</v>
      </c>
      <c r="K15" s="241">
        <f t="shared" si="2"/>
        <v>0</v>
      </c>
      <c r="L15" s="241">
        <f t="shared" si="2"/>
        <v>0</v>
      </c>
      <c r="M15" s="242">
        <f t="shared" si="2"/>
        <v>0</v>
      </c>
      <c r="N15" s="249">
        <f>+N14+N12</f>
        <v>0</v>
      </c>
      <c r="O15" s="249">
        <f>+O14+O12</f>
        <v>0</v>
      </c>
      <c r="P15" s="249">
        <f>+P14+P12</f>
        <v>0</v>
      </c>
      <c r="Q15" s="249">
        <f>+Q14+Q12</f>
        <v>0</v>
      </c>
      <c r="R15" s="249">
        <f>+R14+R12</f>
        <v>0</v>
      </c>
      <c r="S15" s="63">
        <f t="shared" si="0"/>
        <v>0</v>
      </c>
      <c r="T15" s="33"/>
      <c r="U15"/>
      <c r="V15"/>
    </row>
    <row r="16" spans="1:36" ht="12" customHeight="1" x14ac:dyDescent="0.2">
      <c r="A16" s="102"/>
      <c r="B16" s="108"/>
      <c r="C16" s="107"/>
      <c r="D16" s="108"/>
      <c r="E16" s="149"/>
      <c r="F16" s="112"/>
      <c r="G16" s="156"/>
      <c r="H16" s="112"/>
      <c r="I16" s="149"/>
      <c r="J16" s="161"/>
      <c r="K16" s="70"/>
      <c r="L16" s="70"/>
      <c r="M16" s="235"/>
      <c r="N16" s="230"/>
      <c r="O16" s="230"/>
      <c r="P16" s="230"/>
      <c r="Q16" s="230"/>
      <c r="R16" s="230"/>
      <c r="S16" s="63">
        <f t="shared" si="0"/>
        <v>0</v>
      </c>
      <c r="T16" s="33"/>
    </row>
    <row r="17" spans="1:22" x14ac:dyDescent="0.2">
      <c r="A17" s="104" t="s">
        <v>8</v>
      </c>
      <c r="B17" s="105"/>
      <c r="C17" s="105"/>
      <c r="D17" s="103" t="str">
        <f>IF(ISERROR(J17/J12),"",J17/J12)</f>
        <v/>
      </c>
      <c r="E17" s="148">
        <f>+Trades!L60</f>
        <v>0</v>
      </c>
      <c r="F17" s="112"/>
      <c r="G17" s="156"/>
      <c r="H17" s="112"/>
      <c r="I17" s="149"/>
      <c r="J17" s="226">
        <f>SUM(E17:I17)</f>
        <v>0</v>
      </c>
      <c r="K17" s="67">
        <f>IF($K$6=1,J17*HST,0)</f>
        <v>0</v>
      </c>
      <c r="L17" s="67">
        <f>SUM(J17:K17)</f>
        <v>0</v>
      </c>
      <c r="M17" s="165">
        <f>$J17+IF($K$6=1,$J17*HST*(1-HST_Rebate),0)</f>
        <v>0</v>
      </c>
      <c r="N17" s="72">
        <f>$E17+IF($K$6=1,E17*HST*(1-HST_Rebate),0)</f>
        <v>0</v>
      </c>
      <c r="O17" s="72">
        <f>$F17+IF($K$6=1,F17*HST*(1-HST_Rebate),0)</f>
        <v>0</v>
      </c>
      <c r="P17" s="72">
        <f>$G17+IF($K$6=1,G17*HST*(1-HST_Rebate),0)</f>
        <v>0</v>
      </c>
      <c r="Q17" s="72">
        <f>$H17+IF($K$6=1,H17*HST*(1-HST_Rebate),0)</f>
        <v>0</v>
      </c>
      <c r="R17" s="233">
        <f>$I17+IF($K$6=1,I17*HST*(1-HST_Rebate),0)</f>
        <v>0</v>
      </c>
      <c r="S17" s="63">
        <f t="shared" si="0"/>
        <v>0</v>
      </c>
      <c r="T17" s="33"/>
    </row>
    <row r="18" spans="1:22" x14ac:dyDescent="0.2">
      <c r="A18" s="104" t="s">
        <v>60</v>
      </c>
      <c r="B18" s="118" t="s">
        <v>92</v>
      </c>
      <c r="C18" s="196" t="e">
        <f>IF(dte="","",IF(WEEKDAY(dte+46)=7,dte+48,IF(WEEKDAY(dte+46)=1,dte+47,dte+46)))</f>
        <v>#VALUE!</v>
      </c>
      <c r="D18" s="119">
        <f>IF($J$15&gt;=50000,10%,0)</f>
        <v>0</v>
      </c>
      <c r="E18" s="149">
        <f>IF(Trades!M60&lt;&gt;0,Trades!M60,E17*D18)</f>
        <v>0</v>
      </c>
      <c r="F18" s="179">
        <f>+F17*D18</f>
        <v>0</v>
      </c>
      <c r="G18" s="180">
        <f>+G17*$D$18</f>
        <v>0</v>
      </c>
      <c r="H18" s="179">
        <f>+H17*$D$18</f>
        <v>0</v>
      </c>
      <c r="I18" s="175">
        <f>+I17*$D$18</f>
        <v>0</v>
      </c>
      <c r="J18" s="72">
        <f>SUM(E18:I18)</f>
        <v>0</v>
      </c>
      <c r="K18" s="67">
        <f>IF($K$6=1,J18*HST,0)</f>
        <v>0</v>
      </c>
      <c r="L18" s="67">
        <f>SUM(J18:K18)</f>
        <v>0</v>
      </c>
      <c r="M18" s="165">
        <f>$J18+IF($K$6=1,$J18*HST*(1-HST_Rebate),0)</f>
        <v>0</v>
      </c>
      <c r="N18" s="72">
        <f>$E18+IF($K$6=1,E18*HST*(1-HST_Rebate),0)</f>
        <v>0</v>
      </c>
      <c r="O18" s="72">
        <f>$F18+IF($K$6=1,F18*HST*(1-HST_Rebate),0)</f>
        <v>0</v>
      </c>
      <c r="P18" s="72">
        <f>$G18+IF($K$6=1,G18*HST*(1-HST_Rebate),0)</f>
        <v>0</v>
      </c>
      <c r="Q18" s="72">
        <f>$H18+IF($K$6=1,H18*HST*(1-HST_Rebate),0)</f>
        <v>0</v>
      </c>
      <c r="R18" s="233">
        <f>$I18+IF($K$6=1,I18*HST*(1-HST_Rebate),0)</f>
        <v>0</v>
      </c>
      <c r="S18" s="63">
        <f t="shared" si="0"/>
        <v>0</v>
      </c>
      <c r="T18" s="33"/>
      <c r="U18" s="50"/>
      <c r="V18" s="50"/>
    </row>
    <row r="19" spans="1:22" x14ac:dyDescent="0.2">
      <c r="A19" s="102" t="s">
        <v>53</v>
      </c>
      <c r="B19" s="108"/>
      <c r="C19" s="108"/>
      <c r="D19" s="108"/>
      <c r="E19" s="286"/>
      <c r="F19" s="454"/>
      <c r="G19" s="455"/>
      <c r="H19" s="454"/>
      <c r="I19" s="454"/>
      <c r="J19" s="227">
        <f>SUM(E19:I19)</f>
        <v>0</v>
      </c>
      <c r="K19" s="111">
        <f>IF($K$6=1,J19*HST,0)</f>
        <v>0</v>
      </c>
      <c r="L19" s="111">
        <f>SUM(J19:K19)</f>
        <v>0</v>
      </c>
      <c r="M19" s="166">
        <f>$J19+IF($K$6=1,$J19*HST*(1-HST_Rebate),0)</f>
        <v>0</v>
      </c>
      <c r="N19" s="72">
        <f>$E19+IF($K$6=1,E19*HST*(1-HST_Rebate),0)</f>
        <v>0</v>
      </c>
      <c r="O19" s="72">
        <f>$F19+IF($K$6=1,F19*HST*(1-HST_Rebate),0)</f>
        <v>0</v>
      </c>
      <c r="P19" s="72">
        <f>$G19+IF($K$6=1,G19*HST*(1-HST_Rebate),0)</f>
        <v>0</v>
      </c>
      <c r="Q19" s="72">
        <f>$H19+IF($K$6=1,H19*HST*(1-HST_Rebate),0)</f>
        <v>0</v>
      </c>
      <c r="R19" s="233">
        <f>$I19+IF($K$6=1,I19*HST*(1-HST_Rebate),0)</f>
        <v>0</v>
      </c>
      <c r="S19" s="63">
        <f t="shared" si="0"/>
        <v>0</v>
      </c>
      <c r="T19" s="33"/>
    </row>
    <row r="20" spans="1:22" x14ac:dyDescent="0.2">
      <c r="A20" s="774" t="s">
        <v>10</v>
      </c>
      <c r="B20" s="775"/>
      <c r="C20" s="775"/>
      <c r="D20" s="775"/>
      <c r="E20" s="146">
        <f t="shared" ref="E20:M20" si="3">E17-E18-E19</f>
        <v>0</v>
      </c>
      <c r="F20" s="153">
        <f t="shared" si="3"/>
        <v>0</v>
      </c>
      <c r="G20" s="115">
        <f t="shared" si="3"/>
        <v>0</v>
      </c>
      <c r="H20" s="153">
        <f t="shared" si="3"/>
        <v>0</v>
      </c>
      <c r="I20" s="146">
        <f t="shared" si="3"/>
        <v>0</v>
      </c>
      <c r="J20" s="72">
        <f t="shared" si="3"/>
        <v>0</v>
      </c>
      <c r="K20" s="67">
        <f t="shared" si="3"/>
        <v>0</v>
      </c>
      <c r="L20" s="67">
        <f t="shared" si="3"/>
        <v>0</v>
      </c>
      <c r="M20" s="165">
        <f t="shared" si="3"/>
        <v>0</v>
      </c>
      <c r="N20" s="233">
        <f>N17-N18-N19</f>
        <v>0</v>
      </c>
      <c r="O20" s="233">
        <f>O17-O18-O19</f>
        <v>0</v>
      </c>
      <c r="P20" s="233">
        <f>P17-P18-P19</f>
        <v>0</v>
      </c>
      <c r="Q20" s="233">
        <f>Q17-Q18-Q19</f>
        <v>0</v>
      </c>
      <c r="R20" s="233">
        <f>R17-R18-R19</f>
        <v>0</v>
      </c>
      <c r="S20" s="63">
        <f t="shared" si="0"/>
        <v>0</v>
      </c>
      <c r="T20" s="33"/>
    </row>
    <row r="21" spans="1:22" x14ac:dyDescent="0.2">
      <c r="A21" s="106"/>
      <c r="B21" s="107"/>
      <c r="C21" s="107"/>
      <c r="D21" s="107"/>
      <c r="E21" s="150"/>
      <c r="F21" s="113"/>
      <c r="G21" s="155"/>
      <c r="H21" s="113"/>
      <c r="I21" s="150"/>
      <c r="J21" s="72"/>
      <c r="K21" s="67"/>
      <c r="L21" s="67"/>
      <c r="M21" s="236"/>
      <c r="N21" s="232"/>
      <c r="O21" s="232"/>
      <c r="P21" s="232"/>
      <c r="Q21" s="232"/>
      <c r="R21" s="232"/>
      <c r="S21" s="63">
        <f t="shared" si="0"/>
        <v>0</v>
      </c>
    </row>
    <row r="22" spans="1:22" x14ac:dyDescent="0.2">
      <c r="A22" s="102" t="s">
        <v>61</v>
      </c>
      <c r="B22" s="108"/>
      <c r="C22" s="437" t="s">
        <v>236</v>
      </c>
      <c r="D22" s="437"/>
      <c r="E22" s="151">
        <f>+E70</f>
        <v>0</v>
      </c>
      <c r="F22" s="114">
        <f>+F70</f>
        <v>0</v>
      </c>
      <c r="G22" s="157">
        <f>+G70</f>
        <v>0</v>
      </c>
      <c r="H22" s="114">
        <f>+H70</f>
        <v>0</v>
      </c>
      <c r="I22" s="151">
        <f>+I70</f>
        <v>0</v>
      </c>
      <c r="J22" s="72">
        <f>J70</f>
        <v>0</v>
      </c>
      <c r="K22" s="67">
        <f>IF($K$6=1,J22*HST,0)</f>
        <v>0</v>
      </c>
      <c r="L22" s="67">
        <f>SUM(J22:K22)</f>
        <v>0</v>
      </c>
      <c r="M22" s="165">
        <f>$J22+IF($K$6=1,$J22*HST*(1-HST_Rebate),0)</f>
        <v>0</v>
      </c>
      <c r="N22" s="245">
        <f>+N70</f>
        <v>0</v>
      </c>
      <c r="O22" s="245">
        <f>+O70</f>
        <v>0</v>
      </c>
      <c r="P22" s="245">
        <f>+P70</f>
        <v>0</v>
      </c>
      <c r="Q22" s="245">
        <f>+Q70</f>
        <v>0</v>
      </c>
      <c r="R22" s="245">
        <f>+R70</f>
        <v>0</v>
      </c>
      <c r="S22" s="63">
        <f t="shared" si="0"/>
        <v>0</v>
      </c>
    </row>
    <row r="23" spans="1:22" x14ac:dyDescent="0.2">
      <c r="A23" s="106" t="s">
        <v>54</v>
      </c>
      <c r="B23" s="107"/>
      <c r="C23" s="781"/>
      <c r="D23" s="782"/>
      <c r="E23" s="146">
        <f t="shared" ref="E23:L23" si="4">E20-E22</f>
        <v>0</v>
      </c>
      <c r="F23" s="153">
        <f t="shared" si="4"/>
        <v>0</v>
      </c>
      <c r="G23" s="115">
        <f t="shared" si="4"/>
        <v>0</v>
      </c>
      <c r="H23" s="153">
        <f t="shared" si="4"/>
        <v>0</v>
      </c>
      <c r="I23" s="146">
        <f t="shared" si="4"/>
        <v>0</v>
      </c>
      <c r="J23" s="72">
        <f t="shared" si="4"/>
        <v>0</v>
      </c>
      <c r="K23" s="67">
        <f t="shared" si="4"/>
        <v>0</v>
      </c>
      <c r="L23" s="67">
        <f t="shared" si="4"/>
        <v>0</v>
      </c>
      <c r="M23" s="165">
        <f t="shared" ref="M23:R23" si="5">M20-M22</f>
        <v>0</v>
      </c>
      <c r="N23" s="153">
        <f>N20-N22</f>
        <v>0</v>
      </c>
      <c r="O23" s="153">
        <f>O20-O22</f>
        <v>0</v>
      </c>
      <c r="P23" s="153">
        <f>P20-P22</f>
        <v>0</v>
      </c>
      <c r="Q23" s="153">
        <f t="shared" si="5"/>
        <v>0</v>
      </c>
      <c r="R23" s="153">
        <f t="shared" si="5"/>
        <v>0</v>
      </c>
      <c r="S23" s="63">
        <f t="shared" si="0"/>
        <v>0</v>
      </c>
    </row>
    <row r="24" spans="1:22" x14ac:dyDescent="0.2">
      <c r="A24" s="110" t="s">
        <v>55</v>
      </c>
      <c r="B24" s="109"/>
      <c r="C24" s="781"/>
      <c r="D24" s="782"/>
      <c r="E24" s="561"/>
      <c r="F24" s="562"/>
      <c r="G24" s="563"/>
      <c r="H24" s="562"/>
      <c r="I24" s="561"/>
      <c r="J24" s="361">
        <f>SUM(E24:I24)</f>
        <v>0</v>
      </c>
      <c r="K24" s="362">
        <f>IF($K$6=1,J24*HST,0)</f>
        <v>0</v>
      </c>
      <c r="L24" s="362">
        <f>SUM(J24:K24)</f>
        <v>0</v>
      </c>
      <c r="M24" s="363">
        <f>$J24+IF($K$6=1,$J24*HST*(1-HST_Rebate),0)</f>
        <v>0</v>
      </c>
      <c r="N24" s="72">
        <f>$E24+IF($K$6=1,E24*HST*(1-HST_Rebate),0)</f>
        <v>0</v>
      </c>
      <c r="O24" s="72">
        <f>$F24+IF($K$6=1,F24*HST*(1-HST_Rebate),0)</f>
        <v>0</v>
      </c>
      <c r="P24" s="72">
        <f>$G24+IF($K$6=1,G24*HST*(1-HST_Rebate),0)</f>
        <v>0</v>
      </c>
      <c r="Q24" s="72">
        <f>$H24+IF($K$6=1,H24*HST*(1-HST_Rebate),0)</f>
        <v>0</v>
      </c>
      <c r="R24" s="233">
        <f>$I24+IF($K$6=1,I24*HST*(1-HST_Rebate),0)</f>
        <v>0</v>
      </c>
      <c r="S24" s="63">
        <f t="shared" si="0"/>
        <v>0</v>
      </c>
    </row>
    <row r="25" spans="1:22" s="50" customFormat="1" x14ac:dyDescent="0.2">
      <c r="A25" s="110"/>
      <c r="B25" s="109"/>
      <c r="C25" s="781"/>
      <c r="D25" s="782"/>
      <c r="E25" s="170"/>
      <c r="F25" s="171"/>
      <c r="G25" s="172"/>
      <c r="H25" s="171"/>
      <c r="I25" s="171"/>
      <c r="J25" s="227"/>
      <c r="K25" s="111"/>
      <c r="L25" s="111"/>
      <c r="M25" s="237"/>
      <c r="N25" s="246"/>
      <c r="O25" s="246"/>
      <c r="P25" s="246"/>
      <c r="Q25" s="246"/>
      <c r="R25" s="246"/>
      <c r="S25" s="63">
        <f t="shared" si="0"/>
        <v>0</v>
      </c>
    </row>
    <row r="26" spans="1:22" x14ac:dyDescent="0.2">
      <c r="A26" s="110" t="s">
        <v>56</v>
      </c>
      <c r="B26" s="109"/>
      <c r="C26" s="107"/>
      <c r="D26" s="107"/>
      <c r="E26" s="146">
        <f>E23-E24+E18</f>
        <v>0</v>
      </c>
      <c r="F26" s="153">
        <f t="shared" ref="F26:J26" si="6">F23-F24+F18</f>
        <v>0</v>
      </c>
      <c r="G26" s="115">
        <f t="shared" si="6"/>
        <v>0</v>
      </c>
      <c r="H26" s="153">
        <f t="shared" si="6"/>
        <v>0</v>
      </c>
      <c r="I26" s="146">
        <f t="shared" si="6"/>
        <v>0</v>
      </c>
      <c r="J26" s="159">
        <f t="shared" si="6"/>
        <v>0</v>
      </c>
      <c r="K26" s="68">
        <f t="shared" ref="K26:R26" si="7">K23-K24+K18+K19</f>
        <v>0</v>
      </c>
      <c r="L26" s="68">
        <f t="shared" si="7"/>
        <v>0</v>
      </c>
      <c r="M26" s="165">
        <f t="shared" si="7"/>
        <v>0</v>
      </c>
      <c r="N26" s="248">
        <f>N23-N24+N18+N19</f>
        <v>0</v>
      </c>
      <c r="O26" s="248">
        <f t="shared" si="7"/>
        <v>0</v>
      </c>
      <c r="P26" s="248">
        <f t="shared" si="7"/>
        <v>0</v>
      </c>
      <c r="Q26" s="248">
        <f t="shared" si="7"/>
        <v>0</v>
      </c>
      <c r="R26" s="248">
        <f t="shared" si="7"/>
        <v>0</v>
      </c>
      <c r="S26" s="63">
        <f>SUM(N26:R26)-M26</f>
        <v>0</v>
      </c>
    </row>
    <row r="27" spans="1:22" x14ac:dyDescent="0.2">
      <c r="A27" s="110" t="s">
        <v>57</v>
      </c>
      <c r="B27" s="109"/>
      <c r="C27" s="107"/>
      <c r="D27" s="107"/>
      <c r="E27" s="167">
        <f>E15-E17-E19</f>
        <v>0</v>
      </c>
      <c r="F27" s="168">
        <f t="shared" ref="F27:R27" si="8">F15-F17-F19</f>
        <v>0</v>
      </c>
      <c r="G27" s="169">
        <f t="shared" si="8"/>
        <v>0</v>
      </c>
      <c r="H27" s="168">
        <f t="shared" si="8"/>
        <v>0</v>
      </c>
      <c r="I27" s="168">
        <f t="shared" si="8"/>
        <v>0</v>
      </c>
      <c r="J27" s="163">
        <f t="shared" si="8"/>
        <v>0</v>
      </c>
      <c r="K27" s="164">
        <f t="shared" si="8"/>
        <v>0</v>
      </c>
      <c r="L27" s="164">
        <f t="shared" si="8"/>
        <v>0</v>
      </c>
      <c r="M27" s="237">
        <f t="shared" si="8"/>
        <v>0</v>
      </c>
      <c r="N27" s="250">
        <f>N15-N17-N19</f>
        <v>0</v>
      </c>
      <c r="O27" s="250">
        <f t="shared" si="8"/>
        <v>0</v>
      </c>
      <c r="P27" s="250">
        <f t="shared" si="8"/>
        <v>0</v>
      </c>
      <c r="Q27" s="250">
        <f t="shared" si="8"/>
        <v>0</v>
      </c>
      <c r="R27" s="250">
        <f t="shared" si="8"/>
        <v>0</v>
      </c>
      <c r="S27" s="63">
        <f t="shared" si="0"/>
        <v>0</v>
      </c>
    </row>
    <row r="28" spans="1:22" x14ac:dyDescent="0.2">
      <c r="A28" s="106" t="s">
        <v>11</v>
      </c>
      <c r="B28" s="107"/>
      <c r="C28" s="107"/>
      <c r="D28" s="107"/>
      <c r="E28" s="147">
        <f>SUM(E26:E27)</f>
        <v>0</v>
      </c>
      <c r="F28" s="154">
        <f t="shared" ref="F28:R28" si="9">SUM(F26:F27)</f>
        <v>0</v>
      </c>
      <c r="G28" s="116">
        <f t="shared" si="9"/>
        <v>0</v>
      </c>
      <c r="H28" s="154">
        <f t="shared" si="9"/>
        <v>0</v>
      </c>
      <c r="I28" s="147">
        <f t="shared" si="9"/>
        <v>0</v>
      </c>
      <c r="J28" s="159">
        <f t="shared" si="9"/>
        <v>0</v>
      </c>
      <c r="K28" s="68">
        <f t="shared" si="9"/>
        <v>0</v>
      </c>
      <c r="L28" s="68">
        <f t="shared" si="9"/>
        <v>0</v>
      </c>
      <c r="M28" s="165">
        <f t="shared" si="9"/>
        <v>0</v>
      </c>
      <c r="N28" s="248">
        <f>SUM(N26:N27)</f>
        <v>0</v>
      </c>
      <c r="O28" s="248">
        <f t="shared" si="9"/>
        <v>0</v>
      </c>
      <c r="P28" s="248">
        <f t="shared" si="9"/>
        <v>0</v>
      </c>
      <c r="Q28" s="248">
        <f t="shared" si="9"/>
        <v>0</v>
      </c>
      <c r="R28" s="248">
        <f t="shared" si="9"/>
        <v>0</v>
      </c>
      <c r="S28" s="63">
        <f>SUM(N28:R28)-M28</f>
        <v>0</v>
      </c>
    </row>
    <row r="29" spans="1:22" x14ac:dyDescent="0.2">
      <c r="A29" s="12"/>
      <c r="B29" s="44"/>
      <c r="C29" s="9"/>
      <c r="D29" s="9"/>
      <c r="E29" s="152"/>
      <c r="F29" s="73"/>
      <c r="G29" s="158"/>
      <c r="H29" s="73"/>
      <c r="I29" s="152"/>
      <c r="J29" s="162"/>
      <c r="K29" s="74"/>
      <c r="L29" s="74"/>
      <c r="M29" s="239"/>
      <c r="N29" s="231"/>
      <c r="O29" s="231"/>
      <c r="P29" s="231"/>
      <c r="Q29" s="231"/>
      <c r="R29" s="231"/>
      <c r="S29" s="63">
        <f t="shared" si="0"/>
        <v>0</v>
      </c>
    </row>
    <row r="30" spans="1:22" ht="13.5" customHeight="1" x14ac:dyDescent="0.2"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</row>
    <row r="31" spans="1:22" s="19" customFormat="1" ht="30" customHeight="1" x14ac:dyDescent="0.2">
      <c r="A31" s="57" t="s">
        <v>58</v>
      </c>
      <c r="B31" s="43"/>
      <c r="C31" s="43"/>
      <c r="D31" s="43"/>
      <c r="E31" s="76"/>
      <c r="F31" s="76"/>
      <c r="G31" s="76"/>
      <c r="H31" s="76"/>
      <c r="I31" s="76"/>
      <c r="J31" s="766" t="s">
        <v>51</v>
      </c>
      <c r="K31" s="766" t="s">
        <v>43</v>
      </c>
      <c r="L31" s="763" t="s">
        <v>0</v>
      </c>
      <c r="M31" s="763" t="s">
        <v>42</v>
      </c>
      <c r="N31" s="768" t="s">
        <v>88</v>
      </c>
      <c r="O31" s="768"/>
      <c r="P31" s="768"/>
      <c r="Q31" s="768"/>
      <c r="R31" s="769"/>
    </row>
    <row r="32" spans="1:22" s="142" customFormat="1" ht="15.75" customHeight="1" x14ac:dyDescent="0.2">
      <c r="A32" s="278" t="s">
        <v>176</v>
      </c>
      <c r="B32" s="140" t="s">
        <v>69</v>
      </c>
      <c r="C32" s="140" t="s">
        <v>47</v>
      </c>
      <c r="D32" s="141" t="s">
        <v>87</v>
      </c>
      <c r="E32" s="144" t="str">
        <f>+E8</f>
        <v>Split #1/Fund</v>
      </c>
      <c r="F32" s="144" t="str">
        <f>+F8</f>
        <v>Split #2/Fund</v>
      </c>
      <c r="G32" s="144" t="str">
        <f>+G8</f>
        <v>Split #3/Fund</v>
      </c>
      <c r="H32" s="144" t="str">
        <f>+H8</f>
        <v>Split #4/Fund</v>
      </c>
      <c r="I32" s="144" t="str">
        <f>+I8</f>
        <v>Split #5/Fund</v>
      </c>
      <c r="J32" s="767"/>
      <c r="K32" s="767"/>
      <c r="L32" s="764"/>
      <c r="M32" s="764"/>
      <c r="N32" s="243" t="str">
        <f>+E32</f>
        <v>Split #1/Fund</v>
      </c>
      <c r="O32" s="243" t="str">
        <f>+F32</f>
        <v>Split #2/Fund</v>
      </c>
      <c r="P32" s="243" t="str">
        <f>+H32</f>
        <v>Split #4/Fund</v>
      </c>
      <c r="Q32" s="243" t="str">
        <f>+H32</f>
        <v>Split #4/Fund</v>
      </c>
      <c r="R32" s="243" t="str">
        <f>+I32</f>
        <v>Split #5/Fund</v>
      </c>
    </row>
    <row r="33" spans="1:19" x14ac:dyDescent="0.2">
      <c r="A33" s="13">
        <v>1</v>
      </c>
      <c r="B33" s="634"/>
      <c r="C33" s="280"/>
      <c r="D33" s="139" t="s">
        <v>132</v>
      </c>
      <c r="E33" s="173"/>
      <c r="F33" s="456"/>
      <c r="G33" s="456"/>
      <c r="H33" s="456"/>
      <c r="I33" s="456"/>
      <c r="J33" s="257">
        <f>SUM(E33:I33)</f>
        <v>0</v>
      </c>
      <c r="K33" s="72">
        <f t="shared" ref="K33:K42" si="10">IF(J33="","",IF($K$6=1,J33*HST,0))</f>
        <v>0</v>
      </c>
      <c r="L33" s="72">
        <f>SUM(J33:K33)</f>
        <v>0</v>
      </c>
      <c r="M33" s="67">
        <f t="shared" ref="M33:M42" si="11">IF(J33="","",$J33+IF($K$6=1,$J33*HST*(1-HST_Rebate),0))</f>
        <v>0</v>
      </c>
      <c r="N33" s="159">
        <f t="shared" ref="N33:N42" si="12">$E33+IF($K$6=1,E33*HST*(1-HST_Rebate),0)</f>
        <v>0</v>
      </c>
      <c r="O33" s="159">
        <f t="shared" ref="O33:O42" si="13">$F33+IF($K$6=1,F33*HST*(1-HST_Rebate),0)</f>
        <v>0</v>
      </c>
      <c r="P33" s="159">
        <f t="shared" ref="P33:P42" si="14">$G33+IF($K$6=1,G33*HST*(1-HST_Rebate),0)</f>
        <v>0</v>
      </c>
      <c r="Q33" s="159">
        <f t="shared" ref="Q33:Q42" si="15">$H33+IF($K$6=1,H33*HST*(1-HST_Rebate),0)</f>
        <v>0</v>
      </c>
      <c r="R33" s="159">
        <f t="shared" ref="R33:R42" si="16">$I33+IF($K$6=1,I33*HST*(1-HST_Rebate),0)</f>
        <v>0</v>
      </c>
      <c r="S33" s="63">
        <f t="shared" ref="S33:S43" si="17">SUM(N33:R33)-M33</f>
        <v>0</v>
      </c>
    </row>
    <row r="34" spans="1:19" s="50" customFormat="1" x14ac:dyDescent="0.2">
      <c r="A34" s="13">
        <v>2</v>
      </c>
      <c r="B34" s="634"/>
      <c r="C34" s="280"/>
      <c r="D34" s="139" t="s">
        <v>132</v>
      </c>
      <c r="E34" s="173"/>
      <c r="F34" s="456"/>
      <c r="G34" s="456"/>
      <c r="H34" s="456"/>
      <c r="I34" s="456"/>
      <c r="J34" s="258">
        <f>SUM(E34:I34)</f>
        <v>0</v>
      </c>
      <c r="K34" s="72">
        <f t="shared" si="10"/>
        <v>0</v>
      </c>
      <c r="L34" s="72">
        <f t="shared" ref="L34:L42" si="18">SUM(J34:K34)</f>
        <v>0</v>
      </c>
      <c r="M34" s="67">
        <f t="shared" si="11"/>
        <v>0</v>
      </c>
      <c r="N34" s="159">
        <f t="shared" si="12"/>
        <v>0</v>
      </c>
      <c r="O34" s="159">
        <f t="shared" si="13"/>
        <v>0</v>
      </c>
      <c r="P34" s="159">
        <f t="shared" si="14"/>
        <v>0</v>
      </c>
      <c r="Q34" s="159">
        <f t="shared" si="15"/>
        <v>0</v>
      </c>
      <c r="R34" s="159">
        <f t="shared" si="16"/>
        <v>0</v>
      </c>
      <c r="S34" s="63">
        <f t="shared" si="17"/>
        <v>0</v>
      </c>
    </row>
    <row r="35" spans="1:19" s="50" customFormat="1" x14ac:dyDescent="0.2">
      <c r="A35" s="13">
        <v>3</v>
      </c>
      <c r="B35" s="634"/>
      <c r="C35" s="280"/>
      <c r="D35" s="139" t="s">
        <v>132</v>
      </c>
      <c r="E35" s="173"/>
      <c r="F35" s="456"/>
      <c r="G35" s="456"/>
      <c r="H35" s="456"/>
      <c r="I35" s="456"/>
      <c r="J35" s="258">
        <f t="shared" ref="J35:J42" si="19">SUM(E35:I35)</f>
        <v>0</v>
      </c>
      <c r="K35" s="72">
        <f t="shared" si="10"/>
        <v>0</v>
      </c>
      <c r="L35" s="72">
        <f t="shared" si="18"/>
        <v>0</v>
      </c>
      <c r="M35" s="67">
        <f t="shared" si="11"/>
        <v>0</v>
      </c>
      <c r="N35" s="159">
        <f t="shared" si="12"/>
        <v>0</v>
      </c>
      <c r="O35" s="159">
        <f t="shared" si="13"/>
        <v>0</v>
      </c>
      <c r="P35" s="159">
        <f t="shared" si="14"/>
        <v>0</v>
      </c>
      <c r="Q35" s="159">
        <f t="shared" si="15"/>
        <v>0</v>
      </c>
      <c r="R35" s="159">
        <f t="shared" si="16"/>
        <v>0</v>
      </c>
      <c r="S35" s="63">
        <f t="shared" si="17"/>
        <v>0</v>
      </c>
    </row>
    <row r="36" spans="1:19" s="50" customFormat="1" x14ac:dyDescent="0.2">
      <c r="A36" s="13">
        <v>4</v>
      </c>
      <c r="B36" s="634"/>
      <c r="C36" s="280"/>
      <c r="D36" s="139" t="s">
        <v>132</v>
      </c>
      <c r="E36" s="173"/>
      <c r="F36" s="456"/>
      <c r="G36" s="456"/>
      <c r="H36" s="456"/>
      <c r="I36" s="456"/>
      <c r="J36" s="258">
        <f t="shared" si="19"/>
        <v>0</v>
      </c>
      <c r="K36" s="72">
        <f t="shared" si="10"/>
        <v>0</v>
      </c>
      <c r="L36" s="72">
        <f t="shared" si="18"/>
        <v>0</v>
      </c>
      <c r="M36" s="67">
        <f t="shared" si="11"/>
        <v>0</v>
      </c>
      <c r="N36" s="159">
        <f t="shared" si="12"/>
        <v>0</v>
      </c>
      <c r="O36" s="159">
        <f t="shared" si="13"/>
        <v>0</v>
      </c>
      <c r="P36" s="159">
        <f t="shared" si="14"/>
        <v>0</v>
      </c>
      <c r="Q36" s="159">
        <f t="shared" si="15"/>
        <v>0</v>
      </c>
      <c r="R36" s="159">
        <f t="shared" si="16"/>
        <v>0</v>
      </c>
      <c r="S36" s="63">
        <f t="shared" si="17"/>
        <v>0</v>
      </c>
    </row>
    <row r="37" spans="1:19" s="50" customFormat="1" x14ac:dyDescent="0.2">
      <c r="A37" s="13">
        <v>5</v>
      </c>
      <c r="B37" s="634"/>
      <c r="C37" s="280"/>
      <c r="D37" s="139" t="s">
        <v>132</v>
      </c>
      <c r="E37" s="173"/>
      <c r="F37" s="456"/>
      <c r="G37" s="456"/>
      <c r="H37" s="456"/>
      <c r="I37" s="456"/>
      <c r="J37" s="258">
        <f t="shared" si="19"/>
        <v>0</v>
      </c>
      <c r="K37" s="72">
        <f t="shared" si="10"/>
        <v>0</v>
      </c>
      <c r="L37" s="72">
        <f t="shared" si="18"/>
        <v>0</v>
      </c>
      <c r="M37" s="67">
        <f t="shared" si="11"/>
        <v>0</v>
      </c>
      <c r="N37" s="159">
        <f t="shared" si="12"/>
        <v>0</v>
      </c>
      <c r="O37" s="159">
        <f t="shared" si="13"/>
        <v>0</v>
      </c>
      <c r="P37" s="159">
        <f t="shared" si="14"/>
        <v>0</v>
      </c>
      <c r="Q37" s="159">
        <f t="shared" si="15"/>
        <v>0</v>
      </c>
      <c r="R37" s="159">
        <f t="shared" si="16"/>
        <v>0</v>
      </c>
      <c r="S37" s="63">
        <f t="shared" si="17"/>
        <v>0</v>
      </c>
    </row>
    <row r="38" spans="1:19" s="50" customFormat="1" x14ac:dyDescent="0.2">
      <c r="A38" s="13">
        <v>6</v>
      </c>
      <c r="B38" s="634"/>
      <c r="C38" s="280"/>
      <c r="D38" s="139" t="s">
        <v>132</v>
      </c>
      <c r="E38" s="173"/>
      <c r="F38" s="456"/>
      <c r="G38" s="456"/>
      <c r="H38" s="456"/>
      <c r="I38" s="456"/>
      <c r="J38" s="258">
        <f t="shared" si="19"/>
        <v>0</v>
      </c>
      <c r="K38" s="72">
        <f t="shared" si="10"/>
        <v>0</v>
      </c>
      <c r="L38" s="72">
        <f t="shared" si="18"/>
        <v>0</v>
      </c>
      <c r="M38" s="67">
        <f t="shared" si="11"/>
        <v>0</v>
      </c>
      <c r="N38" s="159">
        <f t="shared" si="12"/>
        <v>0</v>
      </c>
      <c r="O38" s="159">
        <f t="shared" si="13"/>
        <v>0</v>
      </c>
      <c r="P38" s="159">
        <f t="shared" si="14"/>
        <v>0</v>
      </c>
      <c r="Q38" s="159">
        <f t="shared" si="15"/>
        <v>0</v>
      </c>
      <c r="R38" s="159">
        <f t="shared" si="16"/>
        <v>0</v>
      </c>
      <c r="S38" s="63">
        <f t="shared" si="17"/>
        <v>0</v>
      </c>
    </row>
    <row r="39" spans="1:19" s="50" customFormat="1" x14ac:dyDescent="0.2">
      <c r="A39" s="13">
        <v>7</v>
      </c>
      <c r="B39" s="634"/>
      <c r="C39" s="280"/>
      <c r="D39" s="139" t="s">
        <v>132</v>
      </c>
      <c r="E39" s="173"/>
      <c r="F39" s="456"/>
      <c r="G39" s="456"/>
      <c r="H39" s="456"/>
      <c r="I39" s="456"/>
      <c r="J39" s="258">
        <f t="shared" si="19"/>
        <v>0</v>
      </c>
      <c r="K39" s="72">
        <f t="shared" si="10"/>
        <v>0</v>
      </c>
      <c r="L39" s="72">
        <f t="shared" si="18"/>
        <v>0</v>
      </c>
      <c r="M39" s="67">
        <f t="shared" si="11"/>
        <v>0</v>
      </c>
      <c r="N39" s="159">
        <f t="shared" si="12"/>
        <v>0</v>
      </c>
      <c r="O39" s="159">
        <f t="shared" si="13"/>
        <v>0</v>
      </c>
      <c r="P39" s="159">
        <f t="shared" si="14"/>
        <v>0</v>
      </c>
      <c r="Q39" s="159">
        <f t="shared" si="15"/>
        <v>0</v>
      </c>
      <c r="R39" s="159">
        <f t="shared" si="16"/>
        <v>0</v>
      </c>
      <c r="S39" s="63">
        <f t="shared" si="17"/>
        <v>0</v>
      </c>
    </row>
    <row r="40" spans="1:19" s="50" customFormat="1" x14ac:dyDescent="0.2">
      <c r="A40" s="13">
        <v>8</v>
      </c>
      <c r="B40" s="634"/>
      <c r="C40" s="280"/>
      <c r="D40" s="139" t="s">
        <v>132</v>
      </c>
      <c r="E40" s="173"/>
      <c r="F40" s="456"/>
      <c r="G40" s="456"/>
      <c r="H40" s="456"/>
      <c r="I40" s="456"/>
      <c r="J40" s="258">
        <f t="shared" si="19"/>
        <v>0</v>
      </c>
      <c r="K40" s="72">
        <f t="shared" si="10"/>
        <v>0</v>
      </c>
      <c r="L40" s="72">
        <f t="shared" si="18"/>
        <v>0</v>
      </c>
      <c r="M40" s="67">
        <f t="shared" si="11"/>
        <v>0</v>
      </c>
      <c r="N40" s="159">
        <f t="shared" si="12"/>
        <v>0</v>
      </c>
      <c r="O40" s="159">
        <f t="shared" si="13"/>
        <v>0</v>
      </c>
      <c r="P40" s="159">
        <f t="shared" si="14"/>
        <v>0</v>
      </c>
      <c r="Q40" s="159">
        <f t="shared" si="15"/>
        <v>0</v>
      </c>
      <c r="R40" s="159">
        <f t="shared" si="16"/>
        <v>0</v>
      </c>
      <c r="S40" s="63">
        <f t="shared" si="17"/>
        <v>0</v>
      </c>
    </row>
    <row r="41" spans="1:19" s="50" customFormat="1" x14ac:dyDescent="0.2">
      <c r="A41" s="13">
        <v>9</v>
      </c>
      <c r="B41" s="634"/>
      <c r="C41" s="280"/>
      <c r="D41" s="139" t="s">
        <v>132</v>
      </c>
      <c r="E41" s="173"/>
      <c r="F41" s="456"/>
      <c r="G41" s="456"/>
      <c r="H41" s="456"/>
      <c r="I41" s="456"/>
      <c r="J41" s="258">
        <f t="shared" si="19"/>
        <v>0</v>
      </c>
      <c r="K41" s="72">
        <f t="shared" si="10"/>
        <v>0</v>
      </c>
      <c r="L41" s="72">
        <f t="shared" si="18"/>
        <v>0</v>
      </c>
      <c r="M41" s="67">
        <f t="shared" si="11"/>
        <v>0</v>
      </c>
      <c r="N41" s="159">
        <f t="shared" si="12"/>
        <v>0</v>
      </c>
      <c r="O41" s="159">
        <f t="shared" si="13"/>
        <v>0</v>
      </c>
      <c r="P41" s="159">
        <f t="shared" si="14"/>
        <v>0</v>
      </c>
      <c r="Q41" s="159">
        <f t="shared" si="15"/>
        <v>0</v>
      </c>
      <c r="R41" s="159">
        <f t="shared" si="16"/>
        <v>0</v>
      </c>
      <c r="S41" s="63">
        <f t="shared" si="17"/>
        <v>0</v>
      </c>
    </row>
    <row r="42" spans="1:19" x14ac:dyDescent="0.2">
      <c r="A42" s="13">
        <v>10</v>
      </c>
      <c r="B42" s="635"/>
      <c r="C42" s="281"/>
      <c r="D42" s="139" t="s">
        <v>132</v>
      </c>
      <c r="E42" s="252"/>
      <c r="F42" s="457"/>
      <c r="G42" s="457"/>
      <c r="H42" s="457"/>
      <c r="I42" s="457"/>
      <c r="J42" s="259">
        <f t="shared" si="19"/>
        <v>0</v>
      </c>
      <c r="K42" s="260">
        <f t="shared" si="10"/>
        <v>0</v>
      </c>
      <c r="L42" s="260">
        <f t="shared" si="18"/>
        <v>0</v>
      </c>
      <c r="M42" s="261">
        <f t="shared" si="11"/>
        <v>0</v>
      </c>
      <c r="N42" s="159">
        <f t="shared" si="12"/>
        <v>0</v>
      </c>
      <c r="O42" s="159">
        <f t="shared" si="13"/>
        <v>0</v>
      </c>
      <c r="P42" s="159">
        <f t="shared" si="14"/>
        <v>0</v>
      </c>
      <c r="Q42" s="159">
        <f t="shared" si="15"/>
        <v>0</v>
      </c>
      <c r="R42" s="159">
        <f t="shared" si="16"/>
        <v>0</v>
      </c>
      <c r="S42" s="63">
        <f t="shared" si="17"/>
        <v>0</v>
      </c>
    </row>
    <row r="43" spans="1:19" x14ac:dyDescent="0.2">
      <c r="A43" s="5" t="s">
        <v>0</v>
      </c>
      <c r="B43" s="45"/>
      <c r="C43" s="3"/>
      <c r="D43" s="256"/>
      <c r="E43" s="254">
        <f t="shared" ref="E43:R43" si="20">SUM(E33:E42)</f>
        <v>0</v>
      </c>
      <c r="F43" s="254">
        <f t="shared" si="20"/>
        <v>0</v>
      </c>
      <c r="G43" s="254">
        <f t="shared" si="20"/>
        <v>0</v>
      </c>
      <c r="H43" s="254">
        <f t="shared" si="20"/>
        <v>0</v>
      </c>
      <c r="I43" s="255">
        <f t="shared" si="20"/>
        <v>0</v>
      </c>
      <c r="J43" s="68">
        <f t="shared" si="20"/>
        <v>0</v>
      </c>
      <c r="K43" s="68">
        <f t="shared" si="20"/>
        <v>0</v>
      </c>
      <c r="L43" s="68">
        <f t="shared" si="20"/>
        <v>0</v>
      </c>
      <c r="M43" s="68">
        <f t="shared" si="20"/>
        <v>0</v>
      </c>
      <c r="N43" s="565">
        <f t="shared" si="20"/>
        <v>0</v>
      </c>
      <c r="O43" s="565">
        <f t="shared" si="20"/>
        <v>0</v>
      </c>
      <c r="P43" s="565">
        <f t="shared" si="20"/>
        <v>0</v>
      </c>
      <c r="Q43" s="565">
        <f t="shared" si="20"/>
        <v>0</v>
      </c>
      <c r="R43" s="565">
        <f t="shared" si="20"/>
        <v>0</v>
      </c>
      <c r="S43" s="63">
        <f t="shared" si="17"/>
        <v>0</v>
      </c>
    </row>
    <row r="44" spans="1:19" s="50" customFormat="1" x14ac:dyDescent="0.2">
      <c r="A44" s="5"/>
      <c r="B44" s="572" t="s">
        <v>261</v>
      </c>
      <c r="C44" s="568"/>
      <c r="D44" s="574"/>
      <c r="E44" s="574"/>
      <c r="F44" s="580"/>
      <c r="G44" s="275"/>
      <c r="H44" s="275"/>
      <c r="I44" s="571"/>
      <c r="J44" s="54"/>
      <c r="K44" s="54"/>
      <c r="L44" s="54"/>
      <c r="M44" s="54"/>
      <c r="N44" s="70"/>
      <c r="O44" s="70"/>
      <c r="P44" s="70"/>
      <c r="Q44" s="70"/>
      <c r="R44" s="71"/>
      <c r="S44" s="63"/>
    </row>
    <row r="45" spans="1:19" s="50" customFormat="1" x14ac:dyDescent="0.2">
      <c r="A45" s="5"/>
      <c r="B45" s="575"/>
      <c r="C45" s="576"/>
      <c r="D45" s="570" t="s">
        <v>259</v>
      </c>
      <c r="E45" s="570" t="s">
        <v>188</v>
      </c>
      <c r="F45" s="581"/>
      <c r="G45" s="275"/>
      <c r="H45" s="275"/>
      <c r="I45" s="571"/>
      <c r="J45" s="54"/>
      <c r="K45" s="54"/>
      <c r="L45" s="54"/>
      <c r="M45" s="54"/>
      <c r="N45" s="70"/>
      <c r="O45" s="70"/>
      <c r="P45" s="70"/>
      <c r="Q45" s="70"/>
      <c r="R45" s="71"/>
      <c r="S45" s="63"/>
    </row>
    <row r="46" spans="1:19" s="50" customFormat="1" x14ac:dyDescent="0.2">
      <c r="A46" s="5"/>
      <c r="B46" s="343" t="str">
        <f>+A10</f>
        <v>Original Contract</v>
      </c>
      <c r="C46" s="567">
        <f>+J10</f>
        <v>0</v>
      </c>
      <c r="D46" s="68"/>
      <c r="E46" s="68"/>
      <c r="F46" s="54"/>
      <c r="G46" s="275"/>
      <c r="H46" s="275"/>
      <c r="I46" s="571"/>
      <c r="J46" s="54"/>
      <c r="K46" s="54"/>
      <c r="L46" s="54"/>
      <c r="M46" s="54"/>
      <c r="N46" s="70"/>
      <c r="O46" s="70"/>
      <c r="P46" s="70"/>
      <c r="Q46" s="70"/>
      <c r="R46" s="71"/>
      <c r="S46" s="63"/>
    </row>
    <row r="47" spans="1:19" s="50" customFormat="1" x14ac:dyDescent="0.2">
      <c r="A47" s="5"/>
      <c r="B47" s="343" t="str">
        <f>+A11</f>
        <v>Change orders (note 1)</v>
      </c>
      <c r="C47" s="567">
        <f>+J43</f>
        <v>0</v>
      </c>
      <c r="D47" s="54"/>
      <c r="E47" s="54"/>
      <c r="F47" s="569"/>
      <c r="G47" s="275"/>
      <c r="H47" s="275"/>
      <c r="I47" s="571"/>
      <c r="J47" s="54"/>
      <c r="K47" s="54"/>
      <c r="L47" s="54"/>
      <c r="M47" s="54"/>
      <c r="N47" s="70"/>
      <c r="O47" s="70"/>
      <c r="P47" s="70"/>
      <c r="Q47" s="70"/>
      <c r="R47" s="71"/>
      <c r="S47" s="63"/>
    </row>
    <row r="48" spans="1:19" s="50" customFormat="1" x14ac:dyDescent="0.2">
      <c r="A48" s="5"/>
      <c r="B48" s="343" t="s">
        <v>260</v>
      </c>
      <c r="C48" s="566"/>
      <c r="D48" s="68"/>
      <c r="E48" s="68"/>
      <c r="F48" s="569"/>
      <c r="G48" s="275"/>
      <c r="H48" s="275"/>
      <c r="I48" s="571"/>
      <c r="J48" s="54"/>
      <c r="K48" s="54"/>
      <c r="L48" s="54"/>
      <c r="M48" s="54"/>
      <c r="N48" s="70"/>
      <c r="O48" s="70"/>
      <c r="P48" s="70"/>
      <c r="Q48" s="70"/>
      <c r="R48" s="71"/>
      <c r="S48" s="63"/>
    </row>
    <row r="49" spans="1:19" s="50" customFormat="1" x14ac:dyDescent="0.2">
      <c r="A49" s="5"/>
      <c r="B49" s="343" t="s">
        <v>262</v>
      </c>
      <c r="C49" s="566"/>
      <c r="D49" s="68">
        <f>+C46*20%+(+C48*1.2)+(+C49*1.2)</f>
        <v>0</v>
      </c>
      <c r="E49" s="582">
        <f>+D49-C47</f>
        <v>0</v>
      </c>
      <c r="F49" s="569"/>
      <c r="G49" s="577"/>
      <c r="H49" s="275"/>
      <c r="I49" s="571"/>
      <c r="J49" s="54"/>
      <c r="K49" s="54"/>
      <c r="L49" s="54"/>
      <c r="M49" s="54"/>
      <c r="N49" s="70"/>
      <c r="O49" s="70"/>
      <c r="P49" s="70"/>
      <c r="Q49" s="70"/>
      <c r="R49" s="71"/>
      <c r="S49" s="63"/>
    </row>
    <row r="50" spans="1:19" x14ac:dyDescent="0.2">
      <c r="A50" s="6"/>
      <c r="B50" s="4"/>
      <c r="C50" s="707" t="s">
        <v>69</v>
      </c>
      <c r="D50" s="4"/>
      <c r="E50" s="578" t="s">
        <v>263</v>
      </c>
      <c r="F50" s="579"/>
      <c r="G50" s="74"/>
      <c r="H50" s="74"/>
      <c r="I50" s="75"/>
      <c r="J50" s="74"/>
      <c r="K50" s="74"/>
      <c r="L50" s="74"/>
      <c r="M50" s="74"/>
      <c r="N50" s="74"/>
      <c r="O50" s="74"/>
      <c r="P50" s="74"/>
      <c r="Q50" s="74"/>
      <c r="R50" s="75"/>
    </row>
    <row r="51" spans="1:19" ht="12" customHeight="1" x14ac:dyDescent="0.2"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</row>
    <row r="52" spans="1:19" s="19" customFormat="1" ht="19.5" hidden="1" customHeight="1" outlineLevel="1" x14ac:dyDescent="0.2">
      <c r="A52" s="780" t="s">
        <v>63</v>
      </c>
      <c r="B52" s="780"/>
      <c r="C52" s="780"/>
      <c r="D52" s="780"/>
      <c r="E52" s="263"/>
      <c r="F52" s="263"/>
      <c r="G52" s="263"/>
      <c r="H52" s="263"/>
      <c r="I52" s="263"/>
      <c r="J52" s="264"/>
      <c r="K52" s="264"/>
      <c r="L52" s="264"/>
      <c r="M52" s="264"/>
      <c r="N52" s="61"/>
      <c r="O52" s="61"/>
      <c r="P52" s="61"/>
      <c r="Q52" s="61"/>
      <c r="R52" s="61"/>
    </row>
    <row r="53" spans="1:19" hidden="1" outlineLevel="1" x14ac:dyDescent="0.2">
      <c r="A53" s="265" t="s">
        <v>4</v>
      </c>
      <c r="B53" s="266"/>
      <c r="C53" s="51"/>
      <c r="D53" s="55">
        <f>J10+J11</f>
        <v>0</v>
      </c>
      <c r="E53" s="67"/>
      <c r="F53" s="67"/>
      <c r="G53" s="67"/>
      <c r="H53" s="67"/>
      <c r="I53" s="67"/>
      <c r="J53" s="70"/>
      <c r="K53" s="70"/>
      <c r="L53" s="70"/>
      <c r="M53" s="70"/>
      <c r="N53" s="61"/>
      <c r="O53" s="61"/>
      <c r="P53" s="61"/>
      <c r="Q53" s="61"/>
      <c r="R53" s="61"/>
    </row>
    <row r="54" spans="1:19" hidden="1" outlineLevel="1" x14ac:dyDescent="0.2">
      <c r="A54" s="265" t="s">
        <v>3</v>
      </c>
      <c r="B54" s="266"/>
      <c r="C54" s="267" t="s">
        <v>2</v>
      </c>
      <c r="D54" s="94">
        <v>50000</v>
      </c>
      <c r="E54" s="116"/>
      <c r="F54" s="116"/>
      <c r="G54" s="116"/>
      <c r="H54" s="116"/>
      <c r="I54" s="116"/>
      <c r="J54" s="70"/>
      <c r="K54" s="777" t="str">
        <f>IF(D53&lt;D54,"Under limit, no amount held","Threshold passed, 10% held")</f>
        <v>Under limit, no amount held</v>
      </c>
      <c r="L54" s="777"/>
      <c r="M54" s="777"/>
      <c r="N54" s="61"/>
      <c r="O54" s="61"/>
      <c r="P54" s="61"/>
      <c r="Q54" s="61"/>
      <c r="R54" s="61"/>
    </row>
    <row r="55" spans="1:19" hidden="1" outlineLevel="1" x14ac:dyDescent="0.2">
      <c r="A55" s="265" t="s">
        <v>5</v>
      </c>
      <c r="B55" s="266"/>
      <c r="C55" s="51"/>
      <c r="D55" s="270">
        <f>+D18</f>
        <v>0</v>
      </c>
      <c r="E55" s="262"/>
      <c r="F55" s="262"/>
      <c r="G55" s="262"/>
      <c r="H55" s="262"/>
      <c r="I55" s="262"/>
      <c r="J55" s="70"/>
      <c r="K55" s="70"/>
      <c r="L55" s="70"/>
      <c r="M55" s="70"/>
      <c r="N55" s="61"/>
      <c r="O55" s="61"/>
      <c r="P55" s="61"/>
      <c r="Q55" s="61"/>
      <c r="R55" s="61"/>
    </row>
    <row r="56" spans="1:19" hidden="1" outlineLevel="1" x14ac:dyDescent="0.2">
      <c r="A56" s="268"/>
      <c r="B56" s="269"/>
      <c r="C56" s="51"/>
      <c r="D56" s="51"/>
      <c r="E56" s="70"/>
      <c r="F56" s="70"/>
      <c r="G56" s="70"/>
      <c r="H56" s="70"/>
      <c r="I56" s="70"/>
      <c r="J56" s="81"/>
      <c r="K56" s="70"/>
      <c r="L56" s="70"/>
      <c r="M56" s="70"/>
      <c r="N56" s="61"/>
      <c r="O56" s="61"/>
      <c r="P56" s="61"/>
      <c r="Q56" s="61"/>
      <c r="R56" s="61"/>
    </row>
    <row r="57" spans="1:19" ht="13.5" hidden="1" outlineLevel="1" thickBot="1" x14ac:dyDescent="0.25">
      <c r="A57" s="7" t="s">
        <v>6</v>
      </c>
      <c r="B57" s="8"/>
      <c r="C57" s="3"/>
      <c r="D57" s="15">
        <f>J17</f>
        <v>0</v>
      </c>
      <c r="E57" s="67"/>
      <c r="F57" s="67"/>
      <c r="G57" s="67"/>
      <c r="H57" s="67"/>
      <c r="I57" s="67"/>
      <c r="J57" s="70"/>
      <c r="K57" s="70"/>
      <c r="L57" s="70"/>
      <c r="M57" s="70"/>
      <c r="N57" s="61"/>
      <c r="O57" s="61"/>
      <c r="P57" s="61"/>
      <c r="Q57" s="61"/>
      <c r="R57" s="61"/>
    </row>
    <row r="58" spans="1:19" hidden="1" outlineLevel="1" x14ac:dyDescent="0.2">
      <c r="A58" s="5" t="s">
        <v>7</v>
      </c>
      <c r="B58" s="45"/>
      <c r="C58" s="3"/>
      <c r="D58" s="14">
        <f>IF(D53&gt;=D54,D55*D57,0)</f>
        <v>0</v>
      </c>
      <c r="E58" s="68"/>
      <c r="F58" s="68"/>
      <c r="G58" s="68"/>
      <c r="H58" s="68"/>
      <c r="I58" s="68"/>
      <c r="J58" s="70"/>
      <c r="K58" s="70"/>
      <c r="L58" s="70"/>
      <c r="M58" s="70"/>
      <c r="N58" s="84"/>
      <c r="O58" s="61"/>
      <c r="P58" s="61"/>
      <c r="Q58" s="61"/>
      <c r="R58" s="61"/>
    </row>
    <row r="59" spans="1:19" hidden="1" outlineLevel="1" x14ac:dyDescent="0.2">
      <c r="A59" s="6"/>
      <c r="B59" s="4"/>
      <c r="C59" s="4"/>
      <c r="D59" s="4"/>
      <c r="E59" s="74"/>
      <c r="F59" s="74"/>
      <c r="G59" s="74"/>
      <c r="H59" s="74"/>
      <c r="I59" s="74"/>
      <c r="J59" s="74"/>
      <c r="K59" s="74"/>
      <c r="L59" s="74"/>
      <c r="M59" s="74"/>
      <c r="N59" s="84"/>
      <c r="O59" s="61"/>
      <c r="P59" s="61"/>
      <c r="Q59" s="61"/>
      <c r="R59" s="61"/>
    </row>
    <row r="60" spans="1:19" ht="21.75" customHeight="1" collapsed="1" x14ac:dyDescent="0.2">
      <c r="E60" s="61"/>
      <c r="F60" s="61"/>
      <c r="G60" s="61"/>
      <c r="H60" s="61"/>
      <c r="I60" s="61"/>
      <c r="J60" s="61"/>
      <c r="K60" s="61"/>
      <c r="L60" s="61"/>
      <c r="M60" s="61"/>
      <c r="N60" s="84"/>
      <c r="O60" s="61"/>
      <c r="P60" s="82"/>
      <c r="Q60" s="82"/>
      <c r="R60" s="82"/>
    </row>
    <row r="61" spans="1:19" s="19" customFormat="1" ht="30.75" customHeight="1" x14ac:dyDescent="0.2">
      <c r="A61" s="778" t="s">
        <v>62</v>
      </c>
      <c r="B61" s="779"/>
      <c r="C61" s="779"/>
      <c r="D61" s="779"/>
      <c r="E61" s="276"/>
      <c r="F61" s="276"/>
      <c r="G61" s="276"/>
      <c r="H61" s="276"/>
      <c r="I61" s="276"/>
      <c r="J61" s="766" t="s">
        <v>51</v>
      </c>
      <c r="K61" s="766" t="s">
        <v>43</v>
      </c>
      <c r="L61" s="763" t="s">
        <v>0</v>
      </c>
      <c r="M61" s="763" t="s">
        <v>42</v>
      </c>
      <c r="N61" s="770" t="s">
        <v>90</v>
      </c>
      <c r="O61" s="770"/>
      <c r="P61" s="770"/>
      <c r="Q61" s="770"/>
      <c r="R61" s="771"/>
    </row>
    <row r="62" spans="1:19" ht="17.25" customHeight="1" x14ac:dyDescent="0.2">
      <c r="A62" s="278" t="s">
        <v>177</v>
      </c>
      <c r="B62" s="46" t="s">
        <v>9</v>
      </c>
      <c r="C62" s="46" t="s">
        <v>49</v>
      </c>
      <c r="D62" s="46" t="s">
        <v>48</v>
      </c>
      <c r="E62" s="277" t="str">
        <f>+E8</f>
        <v>Split #1/Fund</v>
      </c>
      <c r="F62" s="277" t="str">
        <f>+F8</f>
        <v>Split #2/Fund</v>
      </c>
      <c r="G62" s="277" t="str">
        <f>+G8</f>
        <v>Split #3/Fund</v>
      </c>
      <c r="H62" s="277" t="str">
        <f>+H8</f>
        <v>Split #4/Fund</v>
      </c>
      <c r="I62" s="277" t="str">
        <f>+I8</f>
        <v>Split #5/Fund</v>
      </c>
      <c r="J62" s="767"/>
      <c r="K62" s="767"/>
      <c r="L62" s="764"/>
      <c r="M62" s="764"/>
      <c r="N62" s="77" t="str">
        <f>+N8</f>
        <v>Split #1/Fund</v>
      </c>
      <c r="O62" s="77" t="str">
        <f>+O8</f>
        <v>Split #2/Fund</v>
      </c>
      <c r="P62" s="77" t="str">
        <f>+P8</f>
        <v>Split #3/Fund</v>
      </c>
      <c r="Q62" s="77" t="str">
        <f>+Q8</f>
        <v>Split #4/Fund</v>
      </c>
      <c r="R62" s="77" t="str">
        <f>+R8</f>
        <v>Split #5/Fund</v>
      </c>
      <c r="S62" s="63"/>
    </row>
    <row r="63" spans="1:19" x14ac:dyDescent="0.2">
      <c r="A63" s="279">
        <v>1</v>
      </c>
      <c r="B63" s="704"/>
      <c r="C63" s="282"/>
      <c r="D63" s="705"/>
      <c r="E63" s="271"/>
      <c r="F63" s="458"/>
      <c r="G63" s="458"/>
      <c r="H63" s="458"/>
      <c r="I63" s="458"/>
      <c r="J63" s="161">
        <f>SUM(E63:I63)</f>
        <v>0</v>
      </c>
      <c r="K63" s="72">
        <f t="shared" ref="K63" si="21">IF(J63="","",IF($K$6=1,J63*HST,0))</f>
        <v>0</v>
      </c>
      <c r="L63" s="72">
        <f t="shared" ref="L63" si="22">SUM(J63:K63)</f>
        <v>0</v>
      </c>
      <c r="M63" s="67">
        <f t="shared" ref="M63" si="23">IF(J63="","",$J63+IF($K$6=1,$J63*HST*(1-HST_Rebate),0))</f>
        <v>0</v>
      </c>
      <c r="N63" s="159">
        <f t="shared" ref="N63:N69" si="24">$E63+IF($K$6=1,E63*HST*(1-HST_Rebate),0)</f>
        <v>0</v>
      </c>
      <c r="O63" s="159">
        <f t="shared" ref="O63:O69" si="25">$F63+IF($K$6=1,F63*HST*(1-HST_Rebate),0)</f>
        <v>0</v>
      </c>
      <c r="P63" s="159">
        <f t="shared" ref="P63:P69" si="26">$G63+IF($K$6=1,G63*HST*(1-HST_Rebate),0)</f>
        <v>0</v>
      </c>
      <c r="Q63" s="159">
        <f t="shared" ref="Q63:Q69" si="27">$H63+IF($K$6=1,H63*HST*(1-HST_Rebate),0)</f>
        <v>0</v>
      </c>
      <c r="R63" s="159">
        <f t="shared" ref="R63:R69" si="28">$I63+IF($K$6=1,I63*HST*(1-HST_Rebate),0)</f>
        <v>0</v>
      </c>
      <c r="S63" s="63">
        <f>SUM(N63:R63)-M63</f>
        <v>0</v>
      </c>
    </row>
    <row r="64" spans="1:19" x14ac:dyDescent="0.2">
      <c r="A64" s="279">
        <v>2</v>
      </c>
      <c r="B64" s="283"/>
      <c r="C64" s="64"/>
      <c r="D64" s="705"/>
      <c r="E64" s="272"/>
      <c r="F64" s="459"/>
      <c r="G64" s="459"/>
      <c r="H64" s="459"/>
      <c r="I64" s="459"/>
      <c r="J64" s="161">
        <f t="shared" ref="J64:J69" si="29">SUM(E64:I64)</f>
        <v>0</v>
      </c>
      <c r="K64" s="72">
        <f t="shared" ref="K64:K69" si="30">IF(J64="","",IF($K$6=1,J64*HST,0))</f>
        <v>0</v>
      </c>
      <c r="L64" s="72">
        <f t="shared" ref="L64:L69" si="31">SUM(J64:K64)</f>
        <v>0</v>
      </c>
      <c r="M64" s="67">
        <f t="shared" ref="M64:M69" si="32">IF(J64="","",$J64+IF($K$6=1,$J64*HST*(1-HST_Rebate),0))</f>
        <v>0</v>
      </c>
      <c r="N64" s="159">
        <f t="shared" si="24"/>
        <v>0</v>
      </c>
      <c r="O64" s="159">
        <f t="shared" si="25"/>
        <v>0</v>
      </c>
      <c r="P64" s="159">
        <f t="shared" si="26"/>
        <v>0</v>
      </c>
      <c r="Q64" s="159">
        <f t="shared" si="27"/>
        <v>0</v>
      </c>
      <c r="R64" s="159">
        <f t="shared" si="28"/>
        <v>0</v>
      </c>
      <c r="S64" s="63">
        <f t="shared" ref="S64:S70" si="33">SUM(N64:R64)-M64</f>
        <v>0</v>
      </c>
    </row>
    <row r="65" spans="1:19" x14ac:dyDescent="0.2">
      <c r="A65" s="279">
        <v>3</v>
      </c>
      <c r="B65" s="283"/>
      <c r="C65" s="64"/>
      <c r="D65" s="705"/>
      <c r="E65" s="272"/>
      <c r="F65" s="459"/>
      <c r="G65" s="459"/>
      <c r="H65" s="459"/>
      <c r="I65" s="459"/>
      <c r="J65" s="161">
        <f t="shared" si="29"/>
        <v>0</v>
      </c>
      <c r="K65" s="72">
        <f t="shared" si="30"/>
        <v>0</v>
      </c>
      <c r="L65" s="72">
        <f t="shared" si="31"/>
        <v>0</v>
      </c>
      <c r="M65" s="67">
        <f t="shared" si="32"/>
        <v>0</v>
      </c>
      <c r="N65" s="159">
        <f t="shared" si="24"/>
        <v>0</v>
      </c>
      <c r="O65" s="159">
        <f t="shared" si="25"/>
        <v>0</v>
      </c>
      <c r="P65" s="159">
        <f t="shared" si="26"/>
        <v>0</v>
      </c>
      <c r="Q65" s="159">
        <f t="shared" si="27"/>
        <v>0</v>
      </c>
      <c r="R65" s="159">
        <f t="shared" si="28"/>
        <v>0</v>
      </c>
      <c r="S65" s="63">
        <f t="shared" si="33"/>
        <v>0</v>
      </c>
    </row>
    <row r="66" spans="1:19" x14ac:dyDescent="0.2">
      <c r="A66" s="279">
        <v>4</v>
      </c>
      <c r="B66" s="283"/>
      <c r="C66" s="65"/>
      <c r="D66" s="705"/>
      <c r="E66" s="273"/>
      <c r="F66" s="460"/>
      <c r="G66" s="460"/>
      <c r="H66" s="460"/>
      <c r="I66" s="460"/>
      <c r="J66" s="161">
        <f t="shared" si="29"/>
        <v>0</v>
      </c>
      <c r="K66" s="72">
        <f t="shared" si="30"/>
        <v>0</v>
      </c>
      <c r="L66" s="72">
        <f t="shared" si="31"/>
        <v>0</v>
      </c>
      <c r="M66" s="67">
        <f t="shared" si="32"/>
        <v>0</v>
      </c>
      <c r="N66" s="159">
        <f t="shared" si="24"/>
        <v>0</v>
      </c>
      <c r="O66" s="159">
        <f t="shared" si="25"/>
        <v>0</v>
      </c>
      <c r="P66" s="159">
        <f t="shared" si="26"/>
        <v>0</v>
      </c>
      <c r="Q66" s="159">
        <f t="shared" si="27"/>
        <v>0</v>
      </c>
      <c r="R66" s="159">
        <f t="shared" si="28"/>
        <v>0</v>
      </c>
      <c r="S66" s="63">
        <f t="shared" si="33"/>
        <v>0</v>
      </c>
    </row>
    <row r="67" spans="1:19" x14ac:dyDescent="0.2">
      <c r="A67" s="279">
        <v>5</v>
      </c>
      <c r="B67" s="283"/>
      <c r="C67" s="65"/>
      <c r="D67" s="705"/>
      <c r="E67" s="273"/>
      <c r="F67" s="460"/>
      <c r="G67" s="460"/>
      <c r="H67" s="460"/>
      <c r="I67" s="460"/>
      <c r="J67" s="161">
        <f t="shared" si="29"/>
        <v>0</v>
      </c>
      <c r="K67" s="72">
        <f t="shared" si="30"/>
        <v>0</v>
      </c>
      <c r="L67" s="72">
        <f t="shared" si="31"/>
        <v>0</v>
      </c>
      <c r="M67" s="67">
        <f t="shared" si="32"/>
        <v>0</v>
      </c>
      <c r="N67" s="159">
        <f t="shared" si="24"/>
        <v>0</v>
      </c>
      <c r="O67" s="159">
        <f t="shared" si="25"/>
        <v>0</v>
      </c>
      <c r="P67" s="159">
        <f t="shared" si="26"/>
        <v>0</v>
      </c>
      <c r="Q67" s="159">
        <f t="shared" si="27"/>
        <v>0</v>
      </c>
      <c r="R67" s="159">
        <f t="shared" si="28"/>
        <v>0</v>
      </c>
      <c r="S67" s="63">
        <f t="shared" si="33"/>
        <v>0</v>
      </c>
    </row>
    <row r="68" spans="1:19" x14ac:dyDescent="0.2">
      <c r="A68" s="279">
        <v>6</v>
      </c>
      <c r="B68" s="283"/>
      <c r="C68" s="65"/>
      <c r="D68" s="705"/>
      <c r="E68" s="273"/>
      <c r="F68" s="460"/>
      <c r="G68" s="460"/>
      <c r="H68" s="460"/>
      <c r="I68" s="460"/>
      <c r="J68" s="161">
        <f t="shared" si="29"/>
        <v>0</v>
      </c>
      <c r="K68" s="72">
        <f t="shared" si="30"/>
        <v>0</v>
      </c>
      <c r="L68" s="72">
        <f t="shared" si="31"/>
        <v>0</v>
      </c>
      <c r="M68" s="67">
        <f t="shared" si="32"/>
        <v>0</v>
      </c>
      <c r="N68" s="159">
        <f t="shared" si="24"/>
        <v>0</v>
      </c>
      <c r="O68" s="159">
        <f t="shared" si="25"/>
        <v>0</v>
      </c>
      <c r="P68" s="159">
        <f t="shared" si="26"/>
        <v>0</v>
      </c>
      <c r="Q68" s="159">
        <f t="shared" si="27"/>
        <v>0</v>
      </c>
      <c r="R68" s="159">
        <f t="shared" si="28"/>
        <v>0</v>
      </c>
      <c r="S68" s="63">
        <f t="shared" si="33"/>
        <v>0</v>
      </c>
    </row>
    <row r="69" spans="1:19" x14ac:dyDescent="0.2">
      <c r="A69" s="279">
        <v>7</v>
      </c>
      <c r="B69" s="283"/>
      <c r="C69" s="64"/>
      <c r="D69" s="705"/>
      <c r="E69" s="274"/>
      <c r="F69" s="461"/>
      <c r="G69" s="461"/>
      <c r="H69" s="461"/>
      <c r="I69" s="461"/>
      <c r="J69" s="162">
        <f t="shared" si="29"/>
        <v>0</v>
      </c>
      <c r="K69" s="260">
        <f t="shared" si="30"/>
        <v>0</v>
      </c>
      <c r="L69" s="260">
        <f t="shared" si="31"/>
        <v>0</v>
      </c>
      <c r="M69" s="261">
        <f t="shared" si="32"/>
        <v>0</v>
      </c>
      <c r="N69" s="159">
        <f t="shared" si="24"/>
        <v>0</v>
      </c>
      <c r="O69" s="159">
        <f t="shared" si="25"/>
        <v>0</v>
      </c>
      <c r="P69" s="159">
        <f t="shared" si="26"/>
        <v>0</v>
      </c>
      <c r="Q69" s="159">
        <f t="shared" si="27"/>
        <v>0</v>
      </c>
      <c r="R69" s="159">
        <f t="shared" si="28"/>
        <v>0</v>
      </c>
      <c r="S69" s="63">
        <f t="shared" si="33"/>
        <v>0</v>
      </c>
    </row>
    <row r="70" spans="1:19" x14ac:dyDescent="0.2">
      <c r="A70" s="5" t="s">
        <v>0</v>
      </c>
      <c r="B70" s="45"/>
      <c r="C70" s="3"/>
      <c r="D70" s="3"/>
      <c r="E70" s="275">
        <f t="shared" ref="E70:R70" si="34">SUM(E63:E69)</f>
        <v>0</v>
      </c>
      <c r="F70" s="275">
        <f t="shared" si="34"/>
        <v>0</v>
      </c>
      <c r="G70" s="275">
        <f t="shared" si="34"/>
        <v>0</v>
      </c>
      <c r="H70" s="275">
        <f t="shared" si="34"/>
        <v>0</v>
      </c>
      <c r="I70" s="275">
        <f t="shared" si="34"/>
        <v>0</v>
      </c>
      <c r="J70" s="68">
        <f t="shared" si="34"/>
        <v>0</v>
      </c>
      <c r="K70" s="68">
        <f t="shared" si="34"/>
        <v>0</v>
      </c>
      <c r="L70" s="68">
        <f t="shared" si="34"/>
        <v>0</v>
      </c>
      <c r="M70" s="69">
        <f t="shared" si="34"/>
        <v>0</v>
      </c>
      <c r="N70" s="285">
        <f t="shared" si="34"/>
        <v>0</v>
      </c>
      <c r="O70" s="285">
        <f t="shared" si="34"/>
        <v>0</v>
      </c>
      <c r="P70" s="285">
        <f t="shared" si="34"/>
        <v>0</v>
      </c>
      <c r="Q70" s="285">
        <f t="shared" si="34"/>
        <v>0</v>
      </c>
      <c r="R70" s="285">
        <f t="shared" si="34"/>
        <v>0</v>
      </c>
      <c r="S70" s="63">
        <f t="shared" si="33"/>
        <v>0</v>
      </c>
    </row>
    <row r="71" spans="1:19" x14ac:dyDescent="0.2">
      <c r="A71" s="6"/>
      <c r="B71" s="4"/>
      <c r="C71" s="4"/>
      <c r="D71" s="4"/>
      <c r="E71" s="74"/>
      <c r="F71" s="74"/>
      <c r="G71" s="74"/>
      <c r="H71" s="74"/>
      <c r="I71" s="74"/>
      <c r="J71" s="74"/>
      <c r="K71" s="74"/>
      <c r="L71" s="74"/>
      <c r="M71" s="75"/>
      <c r="N71" s="79"/>
      <c r="O71" s="79"/>
      <c r="P71" s="79"/>
      <c r="Q71" s="79"/>
      <c r="R71" s="162"/>
    </row>
    <row r="72" spans="1:19" ht="21.75" customHeight="1" x14ac:dyDescent="0.2">
      <c r="E72" s="61"/>
      <c r="F72" s="61"/>
      <c r="G72" s="61"/>
      <c r="H72" s="61"/>
      <c r="I72" s="61"/>
      <c r="J72" s="61"/>
      <c r="K72" s="61"/>
      <c r="L72" s="61"/>
      <c r="M72" s="83"/>
      <c r="N72" s="284"/>
      <c r="O72" s="284"/>
      <c r="P72" s="284"/>
      <c r="Q72" s="284"/>
      <c r="R72" s="284"/>
    </row>
    <row r="73" spans="1:19" x14ac:dyDescent="0.2">
      <c r="A73" t="s">
        <v>265</v>
      </c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</row>
    <row r="74" spans="1:19" x14ac:dyDescent="0.2"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</row>
    <row r="75" spans="1:19" x14ac:dyDescent="0.2"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</row>
    <row r="76" spans="1:19" x14ac:dyDescent="0.2"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</row>
    <row r="77" spans="1:19" x14ac:dyDescent="0.2"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</row>
    <row r="78" spans="1:19" x14ac:dyDescent="0.2"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</row>
    <row r="79" spans="1:19" x14ac:dyDescent="0.2"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</row>
    <row r="80" spans="1:19" x14ac:dyDescent="0.2"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</row>
    <row r="81" spans="5:18" x14ac:dyDescent="0.2"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</row>
    <row r="82" spans="5:18" x14ac:dyDescent="0.2"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</row>
    <row r="83" spans="5:18" x14ac:dyDescent="0.2"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</row>
    <row r="84" spans="5:18" x14ac:dyDescent="0.2"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</row>
    <row r="85" spans="5:18" x14ac:dyDescent="0.2"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</row>
    <row r="86" spans="5:18" x14ac:dyDescent="0.2"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</row>
    <row r="87" spans="5:18" x14ac:dyDescent="0.2"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</row>
    <row r="88" spans="5:18" x14ac:dyDescent="0.2"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</row>
    <row r="89" spans="5:18" x14ac:dyDescent="0.2"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</row>
    <row r="90" spans="5:18" x14ac:dyDescent="0.2"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</row>
    <row r="91" spans="5:18" x14ac:dyDescent="0.2"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</row>
    <row r="92" spans="5:18" x14ac:dyDescent="0.2"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</row>
    <row r="93" spans="5:18" x14ac:dyDescent="0.2"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</row>
    <row r="94" spans="5:18" x14ac:dyDescent="0.2"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</row>
    <row r="95" spans="5:18" x14ac:dyDescent="0.2"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</row>
    <row r="96" spans="5:18" x14ac:dyDescent="0.2"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</row>
    <row r="97" spans="5:18" x14ac:dyDescent="0.2"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</row>
    <row r="98" spans="5:18" x14ac:dyDescent="0.2"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</row>
    <row r="99" spans="5:18" x14ac:dyDescent="0.2"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</row>
    <row r="100" spans="5:18" x14ac:dyDescent="0.2"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</row>
    <row r="101" spans="5:18" x14ac:dyDescent="0.2"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</row>
    <row r="102" spans="5:18" x14ac:dyDescent="0.2"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</row>
    <row r="103" spans="5:18" x14ac:dyDescent="0.2"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</row>
    <row r="104" spans="5:18" x14ac:dyDescent="0.2"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</row>
    <row r="105" spans="5:18" x14ac:dyDescent="0.2"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</row>
    <row r="106" spans="5:18" x14ac:dyDescent="0.2"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</row>
    <row r="107" spans="5:18" x14ac:dyDescent="0.2"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</row>
    <row r="108" spans="5:18" x14ac:dyDescent="0.2"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</row>
    <row r="109" spans="5:18" x14ac:dyDescent="0.2"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</row>
    <row r="110" spans="5:18" x14ac:dyDescent="0.2"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</row>
    <row r="111" spans="5:18" x14ac:dyDescent="0.2"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</row>
    <row r="112" spans="5:18" x14ac:dyDescent="0.2"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</row>
    <row r="113" spans="5:18" x14ac:dyDescent="0.2"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</row>
    <row r="114" spans="5:18" x14ac:dyDescent="0.2"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</row>
    <row r="115" spans="5:18" x14ac:dyDescent="0.2"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</row>
    <row r="116" spans="5:18" x14ac:dyDescent="0.2"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</row>
    <row r="117" spans="5:18" x14ac:dyDescent="0.2"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</row>
    <row r="118" spans="5:18" x14ac:dyDescent="0.2"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</row>
    <row r="119" spans="5:18" x14ac:dyDescent="0.2"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</row>
    <row r="120" spans="5:18" x14ac:dyDescent="0.2"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</row>
    <row r="121" spans="5:18" x14ac:dyDescent="0.2"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</row>
    <row r="122" spans="5:18" x14ac:dyDescent="0.2"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</row>
    <row r="123" spans="5:18" x14ac:dyDescent="0.2"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</row>
    <row r="124" spans="5:18" x14ac:dyDescent="0.2"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</row>
    <row r="125" spans="5:18" x14ac:dyDescent="0.2"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</row>
    <row r="126" spans="5:18" x14ac:dyDescent="0.2"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</row>
    <row r="127" spans="5:18" x14ac:dyDescent="0.2"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</row>
    <row r="128" spans="5:18" x14ac:dyDescent="0.2"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</row>
    <row r="129" spans="5:18" x14ac:dyDescent="0.2"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</row>
    <row r="130" spans="5:18" x14ac:dyDescent="0.2"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</row>
    <row r="131" spans="5:18" x14ac:dyDescent="0.2"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</row>
    <row r="132" spans="5:18" x14ac:dyDescent="0.2"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</row>
    <row r="133" spans="5:18" x14ac:dyDescent="0.2"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</row>
    <row r="134" spans="5:18" x14ac:dyDescent="0.2"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</row>
    <row r="135" spans="5:18" x14ac:dyDescent="0.2"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</row>
    <row r="136" spans="5:18" x14ac:dyDescent="0.2"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</row>
    <row r="137" spans="5:18" x14ac:dyDescent="0.2"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</row>
    <row r="138" spans="5:18" x14ac:dyDescent="0.2"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</row>
    <row r="139" spans="5:18" x14ac:dyDescent="0.2"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</row>
    <row r="140" spans="5:18" x14ac:dyDescent="0.2"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</row>
    <row r="141" spans="5:18" x14ac:dyDescent="0.2"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</row>
    <row r="142" spans="5:18" x14ac:dyDescent="0.2"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</row>
    <row r="143" spans="5:18" x14ac:dyDescent="0.2"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</row>
    <row r="144" spans="5:18" x14ac:dyDescent="0.2"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</row>
    <row r="145" spans="5:18" x14ac:dyDescent="0.2"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</row>
    <row r="146" spans="5:18" x14ac:dyDescent="0.2"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</row>
    <row r="147" spans="5:18" x14ac:dyDescent="0.2"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</row>
    <row r="148" spans="5:18" x14ac:dyDescent="0.2"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</row>
    <row r="149" spans="5:18" x14ac:dyDescent="0.2"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</row>
    <row r="150" spans="5:18" x14ac:dyDescent="0.2"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</row>
    <row r="151" spans="5:18" x14ac:dyDescent="0.2"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</row>
    <row r="152" spans="5:18" x14ac:dyDescent="0.2"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</row>
    <row r="153" spans="5:18" x14ac:dyDescent="0.2"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</row>
    <row r="154" spans="5:18" x14ac:dyDescent="0.2"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</row>
    <row r="155" spans="5:18" x14ac:dyDescent="0.2"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</row>
    <row r="156" spans="5:18" x14ac:dyDescent="0.2"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</row>
    <row r="157" spans="5:18" x14ac:dyDescent="0.2"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</row>
    <row r="158" spans="5:18" x14ac:dyDescent="0.2"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</row>
    <row r="159" spans="5:18" x14ac:dyDescent="0.2"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</row>
    <row r="160" spans="5:18" x14ac:dyDescent="0.2"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</row>
    <row r="161" spans="5:18" x14ac:dyDescent="0.2"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</row>
    <row r="162" spans="5:18" x14ac:dyDescent="0.2"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</row>
    <row r="163" spans="5:18" x14ac:dyDescent="0.2"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</row>
    <row r="164" spans="5:18" x14ac:dyDescent="0.2"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</row>
    <row r="165" spans="5:18" x14ac:dyDescent="0.2"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</row>
    <row r="166" spans="5:18" x14ac:dyDescent="0.2"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</row>
    <row r="167" spans="5:18" x14ac:dyDescent="0.2"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</row>
    <row r="168" spans="5:18" x14ac:dyDescent="0.2"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</row>
    <row r="169" spans="5:18" x14ac:dyDescent="0.2"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</row>
    <row r="170" spans="5:18" x14ac:dyDescent="0.2"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</row>
    <row r="171" spans="5:18" x14ac:dyDescent="0.2"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</row>
    <row r="172" spans="5:18" x14ac:dyDescent="0.2"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</row>
    <row r="173" spans="5:18" x14ac:dyDescent="0.2"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</row>
  </sheetData>
  <mergeCells count="27">
    <mergeCell ref="N31:R31"/>
    <mergeCell ref="N61:R61"/>
    <mergeCell ref="N7:R7"/>
    <mergeCell ref="A20:D20"/>
    <mergeCell ref="U7:V7"/>
    <mergeCell ref="A12:D12"/>
    <mergeCell ref="K54:M54"/>
    <mergeCell ref="A61:D61"/>
    <mergeCell ref="A52:D52"/>
    <mergeCell ref="J31:J32"/>
    <mergeCell ref="K31:K32"/>
    <mergeCell ref="L31:L32"/>
    <mergeCell ref="M31:M32"/>
    <mergeCell ref="J61:J62"/>
    <mergeCell ref="K61:K62"/>
    <mergeCell ref="C23:D25"/>
    <mergeCell ref="L61:L62"/>
    <mergeCell ref="M61:M62"/>
    <mergeCell ref="D1:K1"/>
    <mergeCell ref="D2:K2"/>
    <mergeCell ref="D3:K3"/>
    <mergeCell ref="D4:K4"/>
    <mergeCell ref="M7:M8"/>
    <mergeCell ref="K7:K8"/>
    <mergeCell ref="L7:L8"/>
    <mergeCell ref="J7:J8"/>
    <mergeCell ref="D5:K5"/>
  </mergeCells>
  <conditionalFormatting sqref="D33:D42">
    <cfRule type="cellIs" dxfId="11" priority="27" operator="equal">
      <formula>"Not Validated"</formula>
    </cfRule>
  </conditionalFormatting>
  <conditionalFormatting sqref="F10:I10 F17:I17 F19:I19 F24:I24 F33:I42 F63:I69">
    <cfRule type="expression" dxfId="10" priority="1">
      <formula>F$10&lt;&gt;0</formula>
    </cfRule>
  </conditionalFormatting>
  <dataValidations count="2">
    <dataValidation type="list" allowBlank="1" showInputMessage="1" showErrorMessage="1" sqref="D33:D42">
      <formula1>choices</formula1>
    </dataValidation>
    <dataValidation type="list" allowBlank="1" showInputMessage="1" showErrorMessage="1" sqref="C10">
      <formula1>$Y$7:$Y$9</formula1>
    </dataValidation>
  </dataValidations>
  <printOptions horizontalCentered="1"/>
  <pageMargins left="0" right="0" top="0.25" bottom="0.25" header="0" footer="0"/>
  <pageSetup scale="75" orientation="portrait" r:id="rId1"/>
  <headerFooter>
    <oddHeader>&amp;LUniversité d'Ottawa/University of Ottawa
Services des immeubles/Physical Resources Service</oddHeader>
    <oddFooter>&amp;L&amp;Z&amp;F&amp;R&amp;D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1" r:id="rId4" name="Option Button 17">
              <controlPr defaultSize="0" autoFill="0" autoLine="0" autoPict="0">
                <anchor moveWithCells="1">
                  <from>
                    <xdr:col>10</xdr:col>
                    <xdr:colOff>114300</xdr:colOff>
                    <xdr:row>5</xdr:row>
                    <xdr:rowOff>200025</xdr:rowOff>
                  </from>
                  <to>
                    <xdr:col>11</xdr:col>
                    <xdr:colOff>104775</xdr:colOff>
                    <xdr:row>5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5" name="Option Button 18">
              <controlPr defaultSize="0" autoFill="0" autoLine="0" autoPict="0">
                <anchor moveWithCells="1">
                  <from>
                    <xdr:col>11</xdr:col>
                    <xdr:colOff>104775</xdr:colOff>
                    <xdr:row>5</xdr:row>
                    <xdr:rowOff>200025</xdr:rowOff>
                  </from>
                  <to>
                    <xdr:col>12</xdr:col>
                    <xdr:colOff>152400</xdr:colOff>
                    <xdr:row>5</xdr:row>
                    <xdr:rowOff>400050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340"/>
  <sheetViews>
    <sheetView showGridLines="0" zoomScale="90" zoomScaleNormal="90" workbookViewId="0">
      <selection activeCell="A14" sqref="A14"/>
    </sheetView>
  </sheetViews>
  <sheetFormatPr defaultRowHeight="12.75" outlineLevelRow="1" outlineLevelCol="1" x14ac:dyDescent="0.2"/>
  <cols>
    <col min="1" max="1" width="14.5703125" style="50" customWidth="1"/>
    <col min="2" max="2" width="16.140625" style="50" customWidth="1"/>
    <col min="3" max="3" width="17.42578125" style="50" customWidth="1"/>
    <col min="4" max="5" width="15.7109375" style="50" customWidth="1"/>
    <col min="6" max="9" width="15.7109375" style="50" hidden="1" customWidth="1" outlineLevel="1"/>
    <col min="10" max="10" width="14.42578125" style="50" hidden="1" customWidth="1" outlineLevel="1"/>
    <col min="11" max="11" width="14.140625" style="50" customWidth="1" collapsed="1"/>
    <col min="12" max="13" width="14.140625" style="50" customWidth="1"/>
    <col min="14" max="14" width="19" style="50" hidden="1" customWidth="1" outlineLevel="1"/>
    <col min="15" max="18" width="17.85546875" style="50" hidden="1" customWidth="1" outlineLevel="1"/>
    <col min="19" max="19" width="12.85546875" style="50" hidden="1" customWidth="1" outlineLevel="1"/>
    <col min="20" max="20" width="14.7109375" style="50" customWidth="1" collapsed="1"/>
    <col min="21" max="21" width="14.7109375" style="50" hidden="1" customWidth="1"/>
    <col min="22" max="22" width="9.140625" style="50" hidden="1" customWidth="1"/>
    <col min="23" max="26" width="9.140625" style="50" customWidth="1"/>
    <col min="27" max="16384" width="9.140625" style="50"/>
  </cols>
  <sheetData>
    <row r="1" spans="1:36" ht="15.75" customHeight="1" x14ac:dyDescent="0.25">
      <c r="A1" s="1"/>
      <c r="B1" s="1"/>
      <c r="C1" s="546" t="str">
        <f>+Company!C1</f>
        <v>Company Name</v>
      </c>
      <c r="D1" s="765">
        <f>+'Document Summary'!B3</f>
        <v>0</v>
      </c>
      <c r="E1" s="765"/>
      <c r="F1" s="765"/>
      <c r="G1" s="765"/>
      <c r="H1" s="765"/>
      <c r="I1" s="765"/>
      <c r="J1" s="765"/>
      <c r="K1" s="765"/>
    </row>
    <row r="2" spans="1:36" ht="15.75" customHeight="1" x14ac:dyDescent="0.25">
      <c r="A2" s="58"/>
      <c r="B2" s="58"/>
      <c r="C2" s="546" t="str">
        <f>+Company!C2</f>
        <v>Contract Number</v>
      </c>
      <c r="D2" s="765" t="str">
        <f>+'Document Summary'!B4</f>
        <v>4001WO</v>
      </c>
      <c r="E2" s="765"/>
      <c r="F2" s="765"/>
      <c r="G2" s="765"/>
      <c r="H2" s="765"/>
      <c r="I2" s="765"/>
      <c r="J2" s="765"/>
      <c r="K2" s="765"/>
      <c r="P2" s="38"/>
    </row>
    <row r="3" spans="1:36" ht="15.75" customHeight="1" x14ac:dyDescent="0.25">
      <c r="A3" s="59"/>
      <c r="B3" s="59"/>
      <c r="C3" s="546" t="str">
        <f>+Company!C3</f>
        <v>Project</v>
      </c>
      <c r="D3" s="765" t="str">
        <f>+'Document Summary'!B6</f>
        <v>[project number]</v>
      </c>
      <c r="E3" s="765"/>
      <c r="F3" s="765"/>
      <c r="G3" s="765"/>
      <c r="H3" s="765"/>
      <c r="I3" s="765"/>
      <c r="J3" s="765"/>
      <c r="K3" s="765"/>
      <c r="P3" s="39"/>
    </row>
    <row r="4" spans="1:36" ht="15.75" customHeight="1" x14ac:dyDescent="0.25">
      <c r="A4" s="1"/>
      <c r="B4" s="1"/>
      <c r="C4" s="546" t="str">
        <f>+Company!C4</f>
        <v>Item #</v>
      </c>
      <c r="D4" s="765">
        <f>+'Document Summary'!B7</f>
        <v>502</v>
      </c>
      <c r="E4" s="765"/>
      <c r="F4" s="765"/>
      <c r="G4" s="765"/>
      <c r="H4" s="765"/>
      <c r="I4" s="765"/>
      <c r="J4" s="765"/>
      <c r="K4" s="765"/>
    </row>
    <row r="5" spans="1:36" ht="15.75" customHeight="1" x14ac:dyDescent="0.25">
      <c r="A5" s="66"/>
      <c r="C5" s="547" t="str">
        <f>+Company!C5</f>
        <v xml:space="preserve">Certified by </v>
      </c>
      <c r="D5" s="765" t="str">
        <f>+'Document Summary'!B5</f>
        <v>N/A</v>
      </c>
      <c r="E5" s="765"/>
      <c r="F5" s="765"/>
      <c r="G5" s="765"/>
      <c r="H5" s="765"/>
      <c r="I5" s="765"/>
      <c r="J5" s="765"/>
      <c r="K5" s="765"/>
    </row>
    <row r="6" spans="1:36" ht="36.75" customHeight="1" x14ac:dyDescent="0.2">
      <c r="A6" s="66"/>
      <c r="K6" s="143">
        <v>1</v>
      </c>
    </row>
    <row r="7" spans="1:36" ht="24" customHeight="1" x14ac:dyDescent="0.2">
      <c r="A7" s="134" t="s">
        <v>52</v>
      </c>
      <c r="B7" s="136"/>
      <c r="C7" s="136"/>
      <c r="D7" s="136"/>
      <c r="E7" s="136"/>
      <c r="F7" s="138"/>
      <c r="G7" s="136"/>
      <c r="H7" s="136"/>
      <c r="I7" s="136"/>
      <c r="J7" s="766" t="s">
        <v>51</v>
      </c>
      <c r="K7" s="766" t="s">
        <v>43</v>
      </c>
      <c r="L7" s="763" t="s">
        <v>0</v>
      </c>
      <c r="M7" s="763" t="s">
        <v>42</v>
      </c>
      <c r="N7" s="772" t="s">
        <v>89</v>
      </c>
      <c r="O7" s="772"/>
      <c r="P7" s="772"/>
      <c r="Q7" s="772"/>
      <c r="R7" s="773"/>
      <c r="U7" s="776" t="s">
        <v>50</v>
      </c>
      <c r="V7" s="776"/>
    </row>
    <row r="8" spans="1:36" ht="15.75" customHeight="1" x14ac:dyDescent="0.2">
      <c r="A8" s="135"/>
      <c r="B8" s="137"/>
      <c r="C8" s="452"/>
      <c r="D8" s="453"/>
      <c r="E8" s="244" t="s">
        <v>254</v>
      </c>
      <c r="F8" s="244" t="s">
        <v>255</v>
      </c>
      <c r="G8" s="244" t="s">
        <v>256</v>
      </c>
      <c r="H8" s="244" t="s">
        <v>257</v>
      </c>
      <c r="I8" s="244" t="s">
        <v>258</v>
      </c>
      <c r="J8" s="767"/>
      <c r="K8" s="767"/>
      <c r="L8" s="764"/>
      <c r="M8" s="764"/>
      <c r="N8" s="243" t="str">
        <f>+E8</f>
        <v>Split #1/Fund</v>
      </c>
      <c r="O8" s="243" t="str">
        <f>+F8</f>
        <v>Split #2/Fund</v>
      </c>
      <c r="P8" s="243" t="str">
        <f>+G8</f>
        <v>Split #3/Fund</v>
      </c>
      <c r="Q8" s="243" t="str">
        <f>+H8</f>
        <v>Split #4/Fund</v>
      </c>
      <c r="R8" s="243" t="str">
        <f>+I8</f>
        <v>Split #5/Fund</v>
      </c>
      <c r="U8" s="47" t="s">
        <v>46</v>
      </c>
      <c r="V8" s="40">
        <v>0.13</v>
      </c>
    </row>
    <row r="9" spans="1:36" x14ac:dyDescent="0.2">
      <c r="A9" s="2"/>
      <c r="B9" s="51"/>
      <c r="C9" s="51"/>
      <c r="D9" s="51"/>
      <c r="E9" s="10"/>
      <c r="F9" s="145"/>
      <c r="G9" s="51"/>
      <c r="H9" s="145"/>
      <c r="I9" s="10"/>
      <c r="J9" s="10"/>
      <c r="K9" s="11"/>
      <c r="L9" s="11"/>
      <c r="M9" s="238"/>
      <c r="N9" s="60"/>
      <c r="O9" s="60"/>
      <c r="P9" s="60"/>
      <c r="Q9" s="60"/>
      <c r="R9" s="60"/>
      <c r="S9" s="62" t="s">
        <v>85</v>
      </c>
      <c r="U9" s="42" t="s">
        <v>44</v>
      </c>
      <c r="V9" s="41">
        <v>0.26230769199999998</v>
      </c>
      <c r="AJ9" s="36"/>
    </row>
    <row r="10" spans="1:36" x14ac:dyDescent="0.2">
      <c r="A10" s="708" t="s">
        <v>1</v>
      </c>
      <c r="B10" s="709"/>
      <c r="C10" s="707" t="s">
        <v>69</v>
      </c>
      <c r="D10" s="683"/>
      <c r="E10" s="442">
        <f>+E40+E79+E136</f>
        <v>0</v>
      </c>
      <c r="F10" s="442">
        <f>+F40+F79+F136</f>
        <v>0</v>
      </c>
      <c r="G10" s="442">
        <f>+G40+G79+G136</f>
        <v>0</v>
      </c>
      <c r="H10" s="442">
        <f>+H40+H79+H136</f>
        <v>0</v>
      </c>
      <c r="I10" s="442">
        <f>+I40+I79+I136</f>
        <v>0</v>
      </c>
      <c r="J10" s="226">
        <f>SUM(E10:I10)</f>
        <v>0</v>
      </c>
      <c r="K10" s="67">
        <f>IF(K6=1,J10*HST,0)</f>
        <v>0</v>
      </c>
      <c r="L10" s="67">
        <f>SUM(J10:K10)</f>
        <v>0</v>
      </c>
      <c r="M10" s="165">
        <f>$J10+IF($K$6=1,$J10*HST*(1-V10),0)</f>
        <v>0</v>
      </c>
      <c r="N10" s="72">
        <f>$E10+IF($K$6=1,E10*HST*(1-HST_Rebate),0)</f>
        <v>0</v>
      </c>
      <c r="O10" s="72">
        <f>$F10+IF($K$6=1,F10*HST*(1-HST_Rebate),0)</f>
        <v>0</v>
      </c>
      <c r="P10" s="72">
        <f>$G10+IF($K$6=1,G10*HST*(1-HST_Rebate),0)</f>
        <v>0</v>
      </c>
      <c r="Q10" s="72">
        <f>$H10+IF($K$6=1,H10*HST*(1-HST_Rebate),0)</f>
        <v>0</v>
      </c>
      <c r="R10" s="233">
        <f>$I10+IF($K$6=1,I10*HST*(1-HST_Rebate),0)</f>
        <v>0</v>
      </c>
      <c r="S10" s="63">
        <f>SUM(N10:R10)-M10</f>
        <v>0</v>
      </c>
      <c r="T10" s="33"/>
      <c r="U10" s="42" t="s">
        <v>45</v>
      </c>
      <c r="V10" s="41">
        <v>0.73769230799999996</v>
      </c>
      <c r="AJ10" s="37"/>
    </row>
    <row r="11" spans="1:36" x14ac:dyDescent="0.2">
      <c r="A11" s="102" t="s">
        <v>59</v>
      </c>
      <c r="B11" s="102"/>
      <c r="C11" s="108"/>
      <c r="D11" s="103" t="str">
        <f>IF(ISERROR(J11/J10),"",J11/J10)</f>
        <v/>
      </c>
      <c r="E11" s="175">
        <f>SUMIF($D$198:$D$207,"Validated",E198:E207)</f>
        <v>0</v>
      </c>
      <c r="F11" s="175">
        <f>SUMIF($D$198:$D$207,"Validated",F198:F207)</f>
        <v>0</v>
      </c>
      <c r="G11" s="175">
        <f>SUMIF($D$198:$D$207,"Validated",G198:G207)</f>
        <v>0</v>
      </c>
      <c r="H11" s="175">
        <f>SUMIF($D$198:$D$207,"Validated",H198:H207)</f>
        <v>0</v>
      </c>
      <c r="I11" s="175">
        <f>SUMIF($D$198:$D$207,"Validated",I198:I207)</f>
        <v>0</v>
      </c>
      <c r="J11" s="226">
        <f>SUM(E11:I11)</f>
        <v>0</v>
      </c>
      <c r="K11" s="67">
        <f>IF(K6=1,J11*HST,0)</f>
        <v>0</v>
      </c>
      <c r="L11" s="67">
        <f>SUM(J11:K11)</f>
        <v>0</v>
      </c>
      <c r="M11" s="165">
        <f>$J11+IF($K$6=1,$J11*HST*(1-V10),0)</f>
        <v>0</v>
      </c>
      <c r="N11" s="72">
        <f>$E11+IF($K$6=1,E11*HST*(1-HST_Rebate),0)</f>
        <v>0</v>
      </c>
      <c r="O11" s="72">
        <f>$F11+IF($K$6=1,F11*HST*(1-HST_Rebate),0)</f>
        <v>0</v>
      </c>
      <c r="P11" s="72">
        <f>$G11+IF($K$6=1,G11*HST*(1-HST_Rebate),0)</f>
        <v>0</v>
      </c>
      <c r="Q11" s="72">
        <f>$H11+IF($K$6=1,H11*HST*(1-HST_Rebate),0)</f>
        <v>0</v>
      </c>
      <c r="R11" s="233">
        <f>$I11+IF($K$6=1,I11*HST*(1-HST_Rebate),0)</f>
        <v>0</v>
      </c>
      <c r="S11" s="63">
        <f t="shared" ref="S11:S29" si="0">SUM(N11:R11)-M11</f>
        <v>0</v>
      </c>
      <c r="T11" s="33"/>
    </row>
    <row r="12" spans="1:36" x14ac:dyDescent="0.2">
      <c r="A12" s="774" t="s">
        <v>65</v>
      </c>
      <c r="B12" s="775"/>
      <c r="C12" s="775"/>
      <c r="D12" s="775"/>
      <c r="E12" s="147">
        <f>SUM(E10:E11)</f>
        <v>0</v>
      </c>
      <c r="F12" s="181">
        <f>SUM(F10:F11)</f>
        <v>0</v>
      </c>
      <c r="G12" s="182">
        <f>SUM(G10:G11)</f>
        <v>0</v>
      </c>
      <c r="H12" s="181">
        <f t="shared" ref="H12:L12" si="1">SUM(H10:H11)</f>
        <v>0</v>
      </c>
      <c r="I12" s="183">
        <f t="shared" si="1"/>
        <v>0</v>
      </c>
      <c r="J12" s="159">
        <f t="shared" si="1"/>
        <v>0</v>
      </c>
      <c r="K12" s="68">
        <f t="shared" si="1"/>
        <v>0</v>
      </c>
      <c r="L12" s="68">
        <f t="shared" si="1"/>
        <v>0</v>
      </c>
      <c r="M12" s="165">
        <f>SUM(M10:M11)</f>
        <v>0</v>
      </c>
      <c r="N12" s="248">
        <f>SUM(N10:N11)</f>
        <v>0</v>
      </c>
      <c r="O12" s="248">
        <f t="shared" ref="O12:R12" si="2">SUM(O10:O11)</f>
        <v>0</v>
      </c>
      <c r="P12" s="248">
        <f t="shared" si="2"/>
        <v>0</v>
      </c>
      <c r="Q12" s="248">
        <f t="shared" si="2"/>
        <v>0</v>
      </c>
      <c r="R12" s="248">
        <f t="shared" si="2"/>
        <v>0</v>
      </c>
      <c r="S12" s="63">
        <f t="shared" si="0"/>
        <v>0</v>
      </c>
      <c r="T12" s="33"/>
    </row>
    <row r="13" spans="1:36" x14ac:dyDescent="0.2">
      <c r="A13" s="204"/>
      <c r="B13" s="205"/>
      <c r="C13" s="205"/>
      <c r="D13" s="205"/>
      <c r="E13" s="150"/>
      <c r="F13" s="113"/>
      <c r="G13" s="155"/>
      <c r="H13" s="113"/>
      <c r="I13" s="150"/>
      <c r="J13" s="160">
        <f>SUM(E12:I12)-J12</f>
        <v>0</v>
      </c>
      <c r="K13" s="225"/>
      <c r="L13" s="225"/>
      <c r="M13" s="234"/>
      <c r="N13" s="232"/>
      <c r="O13" s="232"/>
      <c r="P13" s="232"/>
      <c r="Q13" s="232"/>
      <c r="R13" s="232"/>
      <c r="S13" s="63">
        <f t="shared" si="0"/>
        <v>0</v>
      </c>
      <c r="T13" s="33"/>
    </row>
    <row r="14" spans="1:36" x14ac:dyDescent="0.2">
      <c r="A14" s="204" t="s">
        <v>86</v>
      </c>
      <c r="B14" s="205"/>
      <c r="C14" s="205"/>
      <c r="D14" s="103" t="e">
        <f>+J14/J12</f>
        <v>#DIV/0!</v>
      </c>
      <c r="E14" s="176">
        <f>SUMIF($D$198:$D$207,"Not Validated",E198:E207)</f>
        <v>0</v>
      </c>
      <c r="F14" s="176">
        <f>SUMIF($D$198:$D$207,"Not Validated",F198:F207)</f>
        <v>0</v>
      </c>
      <c r="G14" s="176">
        <f>SUMIF($D$198:$D$207,"Not Validated",G198:G207)</f>
        <v>0</v>
      </c>
      <c r="H14" s="176">
        <f>SUMIF($D$198:$D$207,"Not Validated",H198:H207)</f>
        <v>0</v>
      </c>
      <c r="I14" s="176">
        <f>SUMIF($D$198:$D$207,"Not Validated",I198:I207)</f>
        <v>0</v>
      </c>
      <c r="J14" s="227">
        <f>SUM(E14:I14)</f>
        <v>0</v>
      </c>
      <c r="K14" s="228">
        <f>IF(K6=1,J14*HST,0)</f>
        <v>0</v>
      </c>
      <c r="L14" s="228">
        <f>SUM(J14:K14)</f>
        <v>0</v>
      </c>
      <c r="M14" s="229">
        <f>$J14+IF($K$6=1,$J14*HST*(1-V10),0)</f>
        <v>0</v>
      </c>
      <c r="N14" s="72">
        <f>$E14+IF($K$6=1,E14*HST*(1-HST_Rebate),0)</f>
        <v>0</v>
      </c>
      <c r="O14" s="72">
        <f>$F14+IF($K$6=1,F14*HST*(1-HST_Rebate),0)</f>
        <v>0</v>
      </c>
      <c r="P14" s="72">
        <f>$G14+IF($K$6=1,G14*HST*(1-HST_Rebate),0)</f>
        <v>0</v>
      </c>
      <c r="Q14" s="72">
        <f>$H14+IF($K$6=1,H14*HST*(1-HST_Rebate),0)</f>
        <v>0</v>
      </c>
      <c r="R14" s="233">
        <f>$I14+IF($K$6=1,I14*HST*(1-HST_Rebate),0)</f>
        <v>0</v>
      </c>
      <c r="S14" s="63">
        <f t="shared" si="0"/>
        <v>0</v>
      </c>
      <c r="T14" s="33"/>
    </row>
    <row r="15" spans="1:36" ht="13.5" customHeight="1" x14ac:dyDescent="0.2">
      <c r="A15" s="204" t="s">
        <v>64</v>
      </c>
      <c r="B15" s="205"/>
      <c r="C15" s="205"/>
      <c r="D15" s="205"/>
      <c r="E15" s="175">
        <f>+E14+E12</f>
        <v>0</v>
      </c>
      <c r="F15" s="175">
        <f t="shared" ref="F15:L15" si="3">+F14+F12</f>
        <v>0</v>
      </c>
      <c r="G15" s="175">
        <f t="shared" si="3"/>
        <v>0</v>
      </c>
      <c r="H15" s="175">
        <f t="shared" si="3"/>
        <v>0</v>
      </c>
      <c r="I15" s="175">
        <f t="shared" si="3"/>
        <v>0</v>
      </c>
      <c r="J15" s="240">
        <f t="shared" si="3"/>
        <v>0</v>
      </c>
      <c r="K15" s="241">
        <f t="shared" si="3"/>
        <v>0</v>
      </c>
      <c r="L15" s="241">
        <f t="shared" si="3"/>
        <v>0</v>
      </c>
      <c r="M15" s="242">
        <f>+M14+M12</f>
        <v>0</v>
      </c>
      <c r="N15" s="249">
        <f t="shared" ref="N15:R15" si="4">+N14+N12</f>
        <v>0</v>
      </c>
      <c r="O15" s="249">
        <f t="shared" si="4"/>
        <v>0</v>
      </c>
      <c r="P15" s="249">
        <f t="shared" si="4"/>
        <v>0</v>
      </c>
      <c r="Q15" s="249">
        <f t="shared" si="4"/>
        <v>0</v>
      </c>
      <c r="R15" s="249">
        <f t="shared" si="4"/>
        <v>0</v>
      </c>
      <c r="S15" s="63">
        <f t="shared" si="0"/>
        <v>0</v>
      </c>
      <c r="T15" s="33"/>
    </row>
    <row r="16" spans="1:36" ht="12" customHeight="1" x14ac:dyDescent="0.2">
      <c r="A16" s="102"/>
      <c r="B16" s="108"/>
      <c r="C16" s="205"/>
      <c r="D16" s="108"/>
      <c r="E16" s="149"/>
      <c r="F16" s="112"/>
      <c r="G16" s="156"/>
      <c r="H16" s="112"/>
      <c r="I16" s="149"/>
      <c r="J16" s="161"/>
      <c r="K16" s="70"/>
      <c r="L16" s="70"/>
      <c r="M16" s="235"/>
      <c r="N16" s="230"/>
      <c r="O16" s="230"/>
      <c r="P16" s="230"/>
      <c r="Q16" s="230"/>
      <c r="R16" s="230"/>
      <c r="S16" s="63">
        <f t="shared" si="0"/>
        <v>0</v>
      </c>
      <c r="T16" s="33"/>
    </row>
    <row r="17" spans="1:20" x14ac:dyDescent="0.2">
      <c r="A17" s="206" t="s">
        <v>8</v>
      </c>
      <c r="B17" s="207"/>
      <c r="C17" s="207"/>
      <c r="D17" s="103" t="str">
        <f>IF(ISERROR(J17/J12),"",J17/J12)</f>
        <v/>
      </c>
      <c r="E17" s="149">
        <f>E100+E61+E192</f>
        <v>2000</v>
      </c>
      <c r="F17" s="149">
        <f>F100+F61+F192</f>
        <v>0</v>
      </c>
      <c r="G17" s="149">
        <f>G100+G61+G192</f>
        <v>0</v>
      </c>
      <c r="H17" s="149">
        <f>H100+H61+H192</f>
        <v>0</v>
      </c>
      <c r="I17" s="149">
        <f>I100+I61+I192</f>
        <v>0</v>
      </c>
      <c r="J17" s="149">
        <f>+J100+J61+J192</f>
        <v>2000</v>
      </c>
      <c r="K17" s="67">
        <f>IFERROR(IF($K$6=1,J17*HST,0),0)</f>
        <v>260</v>
      </c>
      <c r="L17" s="67">
        <f>SUM(J17:K17)</f>
        <v>2260</v>
      </c>
      <c r="M17" s="165">
        <f>$J17+IF($K$6=1,$J17*HST*(1-V10),0)</f>
        <v>2068.1999999200002</v>
      </c>
      <c r="N17" s="72">
        <f>$E17+IF($K$6=1,E17*HST*(1-HST_Rebate),0)</f>
        <v>2260</v>
      </c>
      <c r="O17" s="72">
        <f>$F17+IF($K$6=1,F17*HST*(1-HST_Rebate),0)</f>
        <v>0</v>
      </c>
      <c r="P17" s="72">
        <f>$G17+IF($K$6=1,G17*HST*(1-HST_Rebate),0)</f>
        <v>0</v>
      </c>
      <c r="Q17" s="72">
        <f>$H17+IF($K$6=1,H17*HST*(1-HST_Rebate),0)</f>
        <v>0</v>
      </c>
      <c r="R17" s="233">
        <f>$I17+IF($K$6=1,I17*HST*(1-HST_Rebate),0)</f>
        <v>0</v>
      </c>
      <c r="S17" s="63">
        <f t="shared" si="0"/>
        <v>191.80000007999979</v>
      </c>
      <c r="T17" s="33"/>
    </row>
    <row r="18" spans="1:20" x14ac:dyDescent="0.2">
      <c r="A18" s="206" t="s">
        <v>60</v>
      </c>
      <c r="B18" s="118"/>
      <c r="C18" s="341"/>
      <c r="D18" s="479">
        <f>IFERROR(IF(J100/J93&gt;95%,5%,IF(ISNUMBER(SEARCH("LVM",D1))=TRUE,6%,0%)),0)</f>
        <v>0</v>
      </c>
      <c r="E18" s="179">
        <f>$D$18*E17</f>
        <v>0</v>
      </c>
      <c r="F18" s="179">
        <f>$D$18*F17</f>
        <v>0</v>
      </c>
      <c r="G18" s="179">
        <f>$D$18*G17</f>
        <v>0</v>
      </c>
      <c r="H18" s="179">
        <f>$D$18*H17</f>
        <v>0</v>
      </c>
      <c r="I18" s="179">
        <f>$D$18*I17</f>
        <v>0</v>
      </c>
      <c r="J18" s="72">
        <f>SUM(E18:I18)</f>
        <v>0</v>
      </c>
      <c r="K18" s="67">
        <f>IFERROR(IF($K$6=1,J18*HST,0),0)</f>
        <v>0</v>
      </c>
      <c r="L18" s="67">
        <f>SUM(J18:K18)</f>
        <v>0</v>
      </c>
      <c r="M18" s="165">
        <f>$J18+IF($K$6=1,$J18*HST*(1-V10),0)</f>
        <v>0</v>
      </c>
      <c r="N18" s="72">
        <f>$E18+IF($K$6=1,E18*HST*(1-HST_Rebate),0)</f>
        <v>0</v>
      </c>
      <c r="O18" s="72">
        <f>$F18+IF($K$6=1,F18*HST*(1-HST_Rebate),0)</f>
        <v>0</v>
      </c>
      <c r="P18" s="72">
        <f>$G18+IF($K$6=1,G18*HST*(1-HST_Rebate),0)</f>
        <v>0</v>
      </c>
      <c r="Q18" s="72">
        <f>$H18+IF($K$6=1,H18*HST*(1-HST_Rebate),0)</f>
        <v>0</v>
      </c>
      <c r="R18" s="233">
        <f>$I18+IF($K$6=1,I18*HST*(1-HST_Rebate),0)</f>
        <v>0</v>
      </c>
      <c r="S18" s="63">
        <f t="shared" si="0"/>
        <v>0</v>
      </c>
      <c r="T18" s="33"/>
    </row>
    <row r="19" spans="1:20" x14ac:dyDescent="0.2">
      <c r="A19" s="102" t="s">
        <v>53</v>
      </c>
      <c r="B19" s="108"/>
      <c r="C19" s="108"/>
      <c r="D19" s="108"/>
      <c r="E19" s="286"/>
      <c r="F19" s="287"/>
      <c r="G19" s="288"/>
      <c r="H19" s="287"/>
      <c r="I19" s="287"/>
      <c r="J19" s="227">
        <f>SUM(E19:I19)</f>
        <v>0</v>
      </c>
      <c r="K19" s="111">
        <f>IF($K$6=1,J19*HST,0)</f>
        <v>0</v>
      </c>
      <c r="L19" s="111">
        <f>SUM(J19:K19)</f>
        <v>0</v>
      </c>
      <c r="M19" s="165">
        <f>$J19+IF($K$6=1,$J19*HST*(1-V10),0)</f>
        <v>0</v>
      </c>
      <c r="N19" s="72">
        <f>$E19+IF($K$6=1,E19*HST*(1-HST_Rebate),0)</f>
        <v>0</v>
      </c>
      <c r="O19" s="72">
        <f>$F19+IF($K$6=1,F19*HST*(1-HST_Rebate),0)</f>
        <v>0</v>
      </c>
      <c r="P19" s="72">
        <f>$G19+IF($K$6=1,G19*HST*(1-HST_Rebate),0)</f>
        <v>0</v>
      </c>
      <c r="Q19" s="72">
        <f>$H19+IF($K$6=1,H19*HST*(1-HST_Rebate),0)</f>
        <v>0</v>
      </c>
      <c r="R19" s="233">
        <f>$I19+IF($K$6=1,I19*HST*(1-HST_Rebate),0)</f>
        <v>0</v>
      </c>
      <c r="S19" s="63">
        <f t="shared" si="0"/>
        <v>0</v>
      </c>
      <c r="T19" s="33"/>
    </row>
    <row r="20" spans="1:20" x14ac:dyDescent="0.2">
      <c r="A20" s="774" t="s">
        <v>10</v>
      </c>
      <c r="B20" s="775"/>
      <c r="C20" s="775"/>
      <c r="D20" s="775"/>
      <c r="E20" s="146">
        <f>E17-E18-E19</f>
        <v>2000</v>
      </c>
      <c r="F20" s="153">
        <f t="shared" ref="F20:L20" si="5">F17-F18-F19</f>
        <v>0</v>
      </c>
      <c r="G20" s="115">
        <f t="shared" si="5"/>
        <v>0</v>
      </c>
      <c r="H20" s="153">
        <f t="shared" si="5"/>
        <v>0</v>
      </c>
      <c r="I20" s="146">
        <f t="shared" si="5"/>
        <v>0</v>
      </c>
      <c r="J20" s="72">
        <f t="shared" si="5"/>
        <v>2000</v>
      </c>
      <c r="K20" s="67">
        <f t="shared" si="5"/>
        <v>260</v>
      </c>
      <c r="L20" s="67">
        <f t="shared" si="5"/>
        <v>2260</v>
      </c>
      <c r="M20" s="165">
        <f>M17-M18-M19</f>
        <v>2068.1999999200002</v>
      </c>
      <c r="N20" s="233">
        <f t="shared" ref="N20:R20" si="6">N17-N18-N19</f>
        <v>2260</v>
      </c>
      <c r="O20" s="233">
        <f t="shared" si="6"/>
        <v>0</v>
      </c>
      <c r="P20" s="233">
        <f t="shared" si="6"/>
        <v>0</v>
      </c>
      <c r="Q20" s="233">
        <f t="shared" si="6"/>
        <v>0</v>
      </c>
      <c r="R20" s="233">
        <f t="shared" si="6"/>
        <v>0</v>
      </c>
      <c r="S20" s="63">
        <f t="shared" si="0"/>
        <v>191.80000007999979</v>
      </c>
      <c r="T20" s="33"/>
    </row>
    <row r="21" spans="1:20" x14ac:dyDescent="0.2">
      <c r="A21" s="204"/>
      <c r="B21" s="205"/>
      <c r="C21" s="205"/>
      <c r="D21" s="205"/>
      <c r="E21" s="150"/>
      <c r="F21" s="113"/>
      <c r="G21" s="155"/>
      <c r="H21" s="113"/>
      <c r="I21" s="150"/>
      <c r="J21" s="72"/>
      <c r="K21" s="67"/>
      <c r="L21" s="67"/>
      <c r="M21" s="236"/>
      <c r="N21" s="232"/>
      <c r="O21" s="232"/>
      <c r="P21" s="232"/>
      <c r="Q21" s="232"/>
      <c r="R21" s="232"/>
      <c r="S21" s="63">
        <f t="shared" si="0"/>
        <v>0</v>
      </c>
    </row>
    <row r="22" spans="1:20" x14ac:dyDescent="0.2">
      <c r="A22" s="102" t="s">
        <v>61</v>
      </c>
      <c r="B22" s="108"/>
      <c r="C22" s="205"/>
      <c r="D22" s="205"/>
      <c r="E22" s="151">
        <f t="shared" ref="E22:J22" si="7">+E239</f>
        <v>0</v>
      </c>
      <c r="F22" s="151">
        <f t="shared" si="7"/>
        <v>0</v>
      </c>
      <c r="G22" s="151">
        <f t="shared" si="7"/>
        <v>0</v>
      </c>
      <c r="H22" s="151">
        <f t="shared" si="7"/>
        <v>0</v>
      </c>
      <c r="I22" s="151">
        <f t="shared" si="7"/>
        <v>0</v>
      </c>
      <c r="J22" s="151">
        <f t="shared" si="7"/>
        <v>0</v>
      </c>
      <c r="K22" s="67">
        <f>IF($K$6=1,J22*HST,0)</f>
        <v>0</v>
      </c>
      <c r="L22" s="67">
        <f>SUM(J22:K22)</f>
        <v>0</v>
      </c>
      <c r="M22" s="165">
        <f>$J22+IF($K$6=1,$J22*HST*(1-V10),0)</f>
        <v>0</v>
      </c>
      <c r="N22" s="245">
        <f>+N63</f>
        <v>0</v>
      </c>
      <c r="O22" s="245">
        <f>+O63</f>
        <v>0</v>
      </c>
      <c r="P22" s="245">
        <f>+P63</f>
        <v>0</v>
      </c>
      <c r="Q22" s="245">
        <f>+Q63</f>
        <v>0</v>
      </c>
      <c r="R22" s="245">
        <f>+R63</f>
        <v>0</v>
      </c>
      <c r="S22" s="63">
        <f t="shared" si="0"/>
        <v>0</v>
      </c>
    </row>
    <row r="23" spans="1:20" x14ac:dyDescent="0.2">
      <c r="A23" s="204" t="s">
        <v>54</v>
      </c>
      <c r="B23" s="205"/>
      <c r="C23" s="205"/>
      <c r="D23" s="205"/>
      <c r="E23" s="146">
        <f t="shared" ref="E23:L23" si="8">E20-E22</f>
        <v>2000</v>
      </c>
      <c r="F23" s="153">
        <f t="shared" si="8"/>
        <v>0</v>
      </c>
      <c r="G23" s="115">
        <f t="shared" si="8"/>
        <v>0</v>
      </c>
      <c r="H23" s="153">
        <f t="shared" si="8"/>
        <v>0</v>
      </c>
      <c r="I23" s="146">
        <f t="shared" si="8"/>
        <v>0</v>
      </c>
      <c r="J23" s="72">
        <f t="shared" si="8"/>
        <v>2000</v>
      </c>
      <c r="K23" s="67">
        <f t="shared" si="8"/>
        <v>260</v>
      </c>
      <c r="L23" s="67">
        <f t="shared" si="8"/>
        <v>2260</v>
      </c>
      <c r="M23" s="165">
        <f>M20-M22</f>
        <v>2068.1999999200002</v>
      </c>
      <c r="N23" s="153">
        <f t="shared" ref="N23:R23" si="9">N20-N22</f>
        <v>2260</v>
      </c>
      <c r="O23" s="153">
        <f t="shared" si="9"/>
        <v>0</v>
      </c>
      <c r="P23" s="153">
        <f t="shared" si="9"/>
        <v>0</v>
      </c>
      <c r="Q23" s="153">
        <f t="shared" si="9"/>
        <v>0</v>
      </c>
      <c r="R23" s="153">
        <f t="shared" si="9"/>
        <v>0</v>
      </c>
      <c r="S23" s="63">
        <f t="shared" si="0"/>
        <v>191.80000007999979</v>
      </c>
    </row>
    <row r="24" spans="1:20" x14ac:dyDescent="0.2">
      <c r="A24" s="110" t="s">
        <v>55</v>
      </c>
      <c r="B24" s="109"/>
      <c r="C24" s="205"/>
      <c r="D24" s="205"/>
      <c r="E24" s="564">
        <v>0</v>
      </c>
      <c r="F24" s="564">
        <v>0</v>
      </c>
      <c r="G24" s="564">
        <v>0</v>
      </c>
      <c r="H24" s="564">
        <v>0</v>
      </c>
      <c r="I24" s="564">
        <v>0</v>
      </c>
      <c r="J24" s="361">
        <f>SUM(E24:I24)</f>
        <v>0</v>
      </c>
      <c r="K24" s="362">
        <f>IF($K$6=1,J24*HST,0)</f>
        <v>0</v>
      </c>
      <c r="L24" s="362">
        <f>SUM(J24:K24)</f>
        <v>0</v>
      </c>
      <c r="M24" s="363">
        <f>$J24+IF($K$6=1,$J24*HST*(1-V10),0)</f>
        <v>0</v>
      </c>
      <c r="N24" s="248">
        <f>E24+IF($K$6=1,E24*HST*(1-V10),0)</f>
        <v>0</v>
      </c>
      <c r="O24" s="248">
        <f>F24+IF($K$6=1,F24*HST*(1-V10),0)</f>
        <v>0</v>
      </c>
      <c r="P24" s="248">
        <f>G24+IF($K$6=1,G24*HST*(1-V10),0)</f>
        <v>0</v>
      </c>
      <c r="Q24" s="248">
        <f>H24+IF($K$6=1,H24*HST*(1-V10),0)</f>
        <v>0</v>
      </c>
      <c r="R24" s="248">
        <f>I24+IF($K$6=1,I24*HST*(1-V10),0)</f>
        <v>0</v>
      </c>
      <c r="S24" s="63">
        <f t="shared" si="0"/>
        <v>0</v>
      </c>
    </row>
    <row r="25" spans="1:20" x14ac:dyDescent="0.2">
      <c r="A25" s="110"/>
      <c r="B25" s="109"/>
      <c r="C25" s="205"/>
      <c r="D25" s="205"/>
      <c r="E25" s="170"/>
      <c r="F25" s="171"/>
      <c r="G25" s="172"/>
      <c r="H25" s="171"/>
      <c r="I25" s="171"/>
      <c r="J25" s="227"/>
      <c r="K25" s="111"/>
      <c r="L25" s="111"/>
      <c r="M25" s="237"/>
      <c r="N25" s="246"/>
      <c r="O25" s="246"/>
      <c r="P25" s="246"/>
      <c r="Q25" s="246"/>
      <c r="R25" s="246"/>
      <c r="S25" s="63">
        <f t="shared" si="0"/>
        <v>0</v>
      </c>
    </row>
    <row r="26" spans="1:20" x14ac:dyDescent="0.2">
      <c r="A26" s="110" t="s">
        <v>56</v>
      </c>
      <c r="B26" s="109"/>
      <c r="C26" s="205"/>
      <c r="D26" s="205"/>
      <c r="E26" s="146">
        <f t="shared" ref="E26:J26" si="10">E23-E24+E18</f>
        <v>2000</v>
      </c>
      <c r="F26" s="153">
        <f t="shared" si="10"/>
        <v>0</v>
      </c>
      <c r="G26" s="115">
        <f t="shared" si="10"/>
        <v>0</v>
      </c>
      <c r="H26" s="153">
        <f t="shared" si="10"/>
        <v>0</v>
      </c>
      <c r="I26" s="146">
        <f t="shared" si="10"/>
        <v>0</v>
      </c>
      <c r="J26" s="159">
        <f t="shared" si="10"/>
        <v>2000</v>
      </c>
      <c r="K26" s="68">
        <f>K23-K24+K18+K19</f>
        <v>260</v>
      </c>
      <c r="L26" s="68">
        <f>L23-L24+L18+L19</f>
        <v>2260</v>
      </c>
      <c r="M26" s="165">
        <f>M23-M24+M18+M19</f>
        <v>2068.1999999200002</v>
      </c>
      <c r="N26" s="159">
        <f>N23-N24+N18</f>
        <v>2260</v>
      </c>
      <c r="O26" s="159">
        <f>O23-O24+O18</f>
        <v>0</v>
      </c>
      <c r="P26" s="159">
        <f>P23-P24+P18</f>
        <v>0</v>
      </c>
      <c r="Q26" s="159">
        <f>Q23-Q24+Q18</f>
        <v>0</v>
      </c>
      <c r="R26" s="159">
        <f>R23-R24+R18</f>
        <v>0</v>
      </c>
      <c r="S26" s="63">
        <f>SUM(N26:R26)-M26</f>
        <v>191.80000007999979</v>
      </c>
    </row>
    <row r="27" spans="1:20" x14ac:dyDescent="0.2">
      <c r="A27" s="110" t="s">
        <v>57</v>
      </c>
      <c r="B27" s="109"/>
      <c r="C27" s="205"/>
      <c r="D27" s="205"/>
      <c r="E27" s="167">
        <f t="shared" ref="E27:L27" si="11">E15-E17-E19</f>
        <v>-2000</v>
      </c>
      <c r="F27" s="168">
        <f t="shared" si="11"/>
        <v>0</v>
      </c>
      <c r="G27" s="169">
        <f t="shared" si="11"/>
        <v>0</v>
      </c>
      <c r="H27" s="168">
        <f t="shared" si="11"/>
        <v>0</v>
      </c>
      <c r="I27" s="168">
        <f t="shared" si="11"/>
        <v>0</v>
      </c>
      <c r="J27" s="163">
        <f t="shared" si="11"/>
        <v>-2000</v>
      </c>
      <c r="K27" s="164">
        <f t="shared" si="11"/>
        <v>-260</v>
      </c>
      <c r="L27" s="164">
        <f t="shared" si="11"/>
        <v>-2260</v>
      </c>
      <c r="M27" s="237">
        <f>M15-M17-M19</f>
        <v>-2068.1999999200002</v>
      </c>
      <c r="N27" s="250">
        <f t="shared" ref="N27:R27" si="12">N15-N17-N19</f>
        <v>-2260</v>
      </c>
      <c r="O27" s="250">
        <f t="shared" si="12"/>
        <v>0</v>
      </c>
      <c r="P27" s="250">
        <f t="shared" si="12"/>
        <v>0</v>
      </c>
      <c r="Q27" s="250">
        <f t="shared" si="12"/>
        <v>0</v>
      </c>
      <c r="R27" s="250">
        <f t="shared" si="12"/>
        <v>0</v>
      </c>
      <c r="S27" s="63">
        <f t="shared" si="0"/>
        <v>-191.80000007999979</v>
      </c>
    </row>
    <row r="28" spans="1:20" x14ac:dyDescent="0.2">
      <c r="A28" s="204" t="s">
        <v>11</v>
      </c>
      <c r="B28" s="205"/>
      <c r="C28" s="205"/>
      <c r="D28" s="340"/>
      <c r="E28" s="147">
        <f t="shared" ref="E28:L28" si="13">SUM(E26:E27)</f>
        <v>0</v>
      </c>
      <c r="F28" s="154">
        <f t="shared" si="13"/>
        <v>0</v>
      </c>
      <c r="G28" s="116">
        <f t="shared" si="13"/>
        <v>0</v>
      </c>
      <c r="H28" s="154">
        <f t="shared" si="13"/>
        <v>0</v>
      </c>
      <c r="I28" s="147">
        <f t="shared" si="13"/>
        <v>0</v>
      </c>
      <c r="J28" s="159">
        <f t="shared" si="13"/>
        <v>0</v>
      </c>
      <c r="K28" s="68">
        <f t="shared" si="13"/>
        <v>0</v>
      </c>
      <c r="L28" s="68">
        <f t="shared" si="13"/>
        <v>0</v>
      </c>
      <c r="M28" s="165">
        <f>SUM(M26:M27)</f>
        <v>0</v>
      </c>
      <c r="N28" s="248">
        <f t="shared" ref="N28:R28" si="14">SUM(N26:N27)</f>
        <v>0</v>
      </c>
      <c r="O28" s="248">
        <f t="shared" si="14"/>
        <v>0</v>
      </c>
      <c r="P28" s="248">
        <f t="shared" si="14"/>
        <v>0</v>
      </c>
      <c r="Q28" s="248">
        <f t="shared" si="14"/>
        <v>0</v>
      </c>
      <c r="R28" s="248">
        <f t="shared" si="14"/>
        <v>0</v>
      </c>
      <c r="S28" s="63">
        <f>SUM(N28:R28)-M28</f>
        <v>0</v>
      </c>
      <c r="T28" s="324"/>
    </row>
    <row r="29" spans="1:20" x14ac:dyDescent="0.2">
      <c r="A29" s="12"/>
      <c r="B29" s="44"/>
      <c r="C29" s="9"/>
      <c r="D29" s="9"/>
      <c r="E29" s="73"/>
      <c r="F29" s="73"/>
      <c r="G29" s="73"/>
      <c r="H29" s="73"/>
      <c r="I29" s="73"/>
      <c r="J29" s="74"/>
      <c r="K29" s="74"/>
      <c r="L29" s="74"/>
      <c r="M29" s="239"/>
      <c r="N29" s="79"/>
      <c r="O29" s="79"/>
      <c r="P29" s="79"/>
      <c r="Q29" s="79"/>
      <c r="R29" s="79"/>
      <c r="S29" s="63">
        <f t="shared" si="0"/>
        <v>0</v>
      </c>
      <c r="T29" s="301"/>
    </row>
    <row r="30" spans="1:20" s="33" customFormat="1" x14ac:dyDescent="0.2">
      <c r="A30" s="297"/>
      <c r="B30" s="297"/>
      <c r="C30" s="298"/>
      <c r="D30" s="298"/>
      <c r="E30" s="299"/>
      <c r="F30" s="299"/>
      <c r="G30" s="299"/>
      <c r="H30" s="299"/>
      <c r="I30" s="299"/>
      <c r="J30" s="300"/>
      <c r="K30" s="300"/>
      <c r="L30" s="300"/>
      <c r="M30" s="300"/>
      <c r="N30" s="300"/>
      <c r="O30" s="301"/>
      <c r="P30" s="301"/>
      <c r="Q30" s="301"/>
      <c r="R30" s="301"/>
      <c r="S30" s="301"/>
      <c r="T30" s="301"/>
    </row>
    <row r="31" spans="1:20" s="33" customFormat="1" ht="13.5" thickBot="1" x14ac:dyDescent="0.25">
      <c r="A31" s="297"/>
      <c r="B31" s="297"/>
      <c r="C31" s="298"/>
      <c r="D31" s="298"/>
      <c r="E31" s="299"/>
      <c r="F31" s="299"/>
      <c r="G31" s="299"/>
      <c r="H31" s="299"/>
      <c r="I31" s="299"/>
      <c r="J31" s="300"/>
      <c r="K31" s="300"/>
      <c r="L31" s="300"/>
      <c r="M31" s="300"/>
      <c r="N31" s="300"/>
      <c r="O31" s="301"/>
      <c r="P31" s="301"/>
      <c r="Q31" s="301"/>
      <c r="R31" s="301"/>
      <c r="S31" s="301"/>
      <c r="T31" s="301"/>
    </row>
    <row r="32" spans="1:20" s="33" customFormat="1" ht="15.75" outlineLevel="1" x14ac:dyDescent="0.25">
      <c r="A32" s="480" t="s">
        <v>179</v>
      </c>
      <c r="B32" s="481"/>
      <c r="C32" s="482"/>
      <c r="D32" s="482"/>
      <c r="E32" s="483"/>
      <c r="F32" s="483"/>
      <c r="G32" s="483"/>
      <c r="H32" s="483"/>
      <c r="I32" s="532"/>
      <c r="J32" s="791" t="s">
        <v>51</v>
      </c>
      <c r="K32" s="791" t="s">
        <v>178</v>
      </c>
      <c r="L32" s="792"/>
      <c r="M32" s="793"/>
      <c r="N32" s="302"/>
      <c r="O32" s="301"/>
      <c r="P32" s="301"/>
      <c r="Q32" s="301"/>
      <c r="R32" s="301"/>
      <c r="S32" s="301"/>
      <c r="T32" s="301"/>
    </row>
    <row r="33" spans="1:20" s="33" customFormat="1" ht="18" customHeight="1" outlineLevel="1" x14ac:dyDescent="0.2">
      <c r="A33" s="489"/>
      <c r="B33" s="342"/>
      <c r="C33" s="342"/>
      <c r="D33" s="342"/>
      <c r="E33" s="144" t="str">
        <f>+E8</f>
        <v>Split #1/Fund</v>
      </c>
      <c r="F33" s="144" t="str">
        <f>+F8</f>
        <v>Split #2/Fund</v>
      </c>
      <c r="G33" s="144" t="str">
        <f>+G8</f>
        <v>Split #3/Fund</v>
      </c>
      <c r="H33" s="144" t="str">
        <f>+H8</f>
        <v>Split #4/Fund</v>
      </c>
      <c r="I33" s="144" t="str">
        <f>+I8</f>
        <v>Split #5/Fund</v>
      </c>
      <c r="J33" s="767"/>
      <c r="K33" s="767"/>
      <c r="L33" s="764"/>
      <c r="M33" s="794"/>
      <c r="N33" s="302"/>
      <c r="O33" s="301"/>
      <c r="P33" s="301"/>
      <c r="Q33" s="301"/>
      <c r="R33" s="301"/>
      <c r="S33" s="301"/>
      <c r="T33" s="301"/>
    </row>
    <row r="34" spans="1:20" s="33" customFormat="1" ht="15.75" customHeight="1" outlineLevel="1" x14ac:dyDescent="0.25">
      <c r="A34" s="526" t="s">
        <v>180</v>
      </c>
      <c r="B34" s="266"/>
      <c r="C34" s="8"/>
      <c r="D34" s="8"/>
      <c r="E34" s="319"/>
      <c r="F34" s="319"/>
      <c r="G34" s="319"/>
      <c r="H34" s="319"/>
      <c r="I34" s="319"/>
      <c r="J34" s="380"/>
      <c r="K34" s="305"/>
      <c r="L34" s="306"/>
      <c r="M34" s="533"/>
      <c r="N34" s="300"/>
      <c r="O34" s="301"/>
      <c r="P34" s="301"/>
      <c r="Q34" s="301"/>
      <c r="R34" s="301"/>
      <c r="S34" s="301"/>
      <c r="T34" s="301"/>
    </row>
    <row r="35" spans="1:20" s="33" customFormat="1" ht="15.75" customHeight="1" outlineLevel="1" x14ac:dyDescent="0.2">
      <c r="A35" s="795" t="s">
        <v>181</v>
      </c>
      <c r="B35" s="796"/>
      <c r="C35" s="51"/>
      <c r="D35" s="8"/>
      <c r="E35" s="307">
        <v>0</v>
      </c>
      <c r="F35" s="307">
        <v>0</v>
      </c>
      <c r="G35" s="307">
        <v>0</v>
      </c>
      <c r="H35" s="307">
        <v>0</v>
      </c>
      <c r="I35" s="307">
        <v>0</v>
      </c>
      <c r="J35" s="345">
        <f>SUM(E35:I35)</f>
        <v>0</v>
      </c>
      <c r="K35" s="343"/>
      <c r="L35" s="343"/>
      <c r="M35" s="534"/>
      <c r="N35" s="300"/>
      <c r="O35" s="301"/>
      <c r="P35" s="301"/>
      <c r="Q35" s="301"/>
      <c r="R35" s="301"/>
      <c r="S35" s="301"/>
      <c r="T35" s="301"/>
    </row>
    <row r="36" spans="1:20" s="33" customFormat="1" ht="15.75" customHeight="1" outlineLevel="1" x14ac:dyDescent="0.2">
      <c r="A36" s="795" t="s">
        <v>182</v>
      </c>
      <c r="B36" s="796"/>
      <c r="C36" s="51"/>
      <c r="D36" s="8"/>
      <c r="E36" s="307">
        <v>0</v>
      </c>
      <c r="F36" s="307">
        <v>0</v>
      </c>
      <c r="G36" s="307">
        <v>0</v>
      </c>
      <c r="H36" s="307">
        <v>0</v>
      </c>
      <c r="I36" s="307">
        <v>0</v>
      </c>
      <c r="J36" s="345">
        <f>SUM(E36:I36)</f>
        <v>0</v>
      </c>
      <c r="K36" s="343"/>
      <c r="L36" s="343"/>
      <c r="M36" s="534"/>
      <c r="N36" s="300"/>
      <c r="O36" s="301"/>
      <c r="P36" s="301"/>
      <c r="Q36" s="301"/>
      <c r="R36" s="301"/>
      <c r="S36" s="301"/>
      <c r="T36" s="301"/>
    </row>
    <row r="37" spans="1:20" s="33" customFormat="1" ht="15.75" customHeight="1" outlineLevel="1" x14ac:dyDescent="0.2">
      <c r="A37" s="795" t="s">
        <v>183</v>
      </c>
      <c r="B37" s="796"/>
      <c r="C37" s="51"/>
      <c r="D37" s="8"/>
      <c r="E37" s="307">
        <v>0</v>
      </c>
      <c r="F37" s="307">
        <v>0</v>
      </c>
      <c r="G37" s="307">
        <v>0</v>
      </c>
      <c r="H37" s="307">
        <v>0</v>
      </c>
      <c r="I37" s="307">
        <v>0</v>
      </c>
      <c r="J37" s="345">
        <f>SUM(E37:I37)</f>
        <v>0</v>
      </c>
      <c r="K37" s="343"/>
      <c r="L37" s="343"/>
      <c r="M37" s="534"/>
      <c r="N37" s="300"/>
      <c r="O37" s="301"/>
      <c r="P37" s="301"/>
      <c r="Q37" s="301"/>
      <c r="R37" s="301"/>
      <c r="S37" s="301"/>
      <c r="T37" s="301"/>
    </row>
    <row r="38" spans="1:20" s="33" customFormat="1" ht="15.75" customHeight="1" outlineLevel="1" x14ac:dyDescent="0.2">
      <c r="A38" s="535" t="s">
        <v>184</v>
      </c>
      <c r="B38" s="310"/>
      <c r="C38" s="51"/>
      <c r="D38" s="8"/>
      <c r="E38" s="347">
        <f t="shared" ref="E38:J38" si="15">SUM(E35:E37)</f>
        <v>0</v>
      </c>
      <c r="F38" s="347">
        <f t="shared" si="15"/>
        <v>0</v>
      </c>
      <c r="G38" s="347">
        <f t="shared" si="15"/>
        <v>0</v>
      </c>
      <c r="H38" s="347">
        <f t="shared" si="15"/>
        <v>0</v>
      </c>
      <c r="I38" s="347">
        <f t="shared" si="15"/>
        <v>0</v>
      </c>
      <c r="J38" s="344">
        <f t="shared" si="15"/>
        <v>0</v>
      </c>
      <c r="K38" s="343"/>
      <c r="L38" s="343"/>
      <c r="M38" s="534"/>
      <c r="N38" s="300"/>
      <c r="O38" s="301"/>
      <c r="P38" s="301"/>
      <c r="Q38" s="301"/>
      <c r="R38" s="301"/>
      <c r="S38" s="301"/>
      <c r="T38" s="301"/>
    </row>
    <row r="39" spans="1:20" s="33" customFormat="1" ht="15.75" customHeight="1" outlineLevel="1" x14ac:dyDescent="0.2">
      <c r="A39" s="536" t="s">
        <v>185</v>
      </c>
      <c r="B39" s="310"/>
      <c r="C39" s="51"/>
      <c r="D39" s="8"/>
      <c r="E39" s="307">
        <v>0</v>
      </c>
      <c r="F39" s="307">
        <v>0</v>
      </c>
      <c r="G39" s="307">
        <v>0</v>
      </c>
      <c r="H39" s="307">
        <v>0</v>
      </c>
      <c r="I39" s="307">
        <v>0</v>
      </c>
      <c r="J39" s="345">
        <f>SUM(E39:I39)</f>
        <v>0</v>
      </c>
      <c r="K39" s="343"/>
      <c r="L39" s="343"/>
      <c r="M39" s="534"/>
      <c r="N39" s="300"/>
      <c r="O39" s="301"/>
      <c r="P39" s="301"/>
      <c r="Q39" s="301"/>
      <c r="R39" s="301"/>
      <c r="S39" s="301"/>
      <c r="T39" s="301"/>
    </row>
    <row r="40" spans="1:20" s="33" customFormat="1" ht="15.75" customHeight="1" outlineLevel="1" x14ac:dyDescent="0.2">
      <c r="A40" s="537" t="str">
        <f>A34&amp;" Total"</f>
        <v>Original Contract Fees Total</v>
      </c>
      <c r="B40" s="372"/>
      <c r="C40" s="373"/>
      <c r="D40" s="373"/>
      <c r="E40" s="374">
        <f t="shared" ref="E40:J40" si="16">+E38+E39</f>
        <v>0</v>
      </c>
      <c r="F40" s="374">
        <f t="shared" si="16"/>
        <v>0</v>
      </c>
      <c r="G40" s="374">
        <f t="shared" si="16"/>
        <v>0</v>
      </c>
      <c r="H40" s="374">
        <f t="shared" si="16"/>
        <v>0</v>
      </c>
      <c r="I40" s="374">
        <f t="shared" si="16"/>
        <v>0</v>
      </c>
      <c r="J40" s="375">
        <f t="shared" si="16"/>
        <v>0</v>
      </c>
      <c r="K40" s="381"/>
      <c r="L40" s="381"/>
      <c r="M40" s="538"/>
      <c r="N40" s="300"/>
      <c r="O40" s="301"/>
      <c r="P40" s="301"/>
      <c r="Q40" s="301"/>
      <c r="R40" s="301"/>
      <c r="S40" s="301"/>
      <c r="T40" s="301"/>
    </row>
    <row r="41" spans="1:20" s="33" customFormat="1" ht="15.75" customHeight="1" outlineLevel="1" x14ac:dyDescent="0.25">
      <c r="A41" s="526" t="s">
        <v>27</v>
      </c>
      <c r="B41" s="311"/>
      <c r="C41" s="8"/>
      <c r="D41" s="8"/>
      <c r="E41" s="321"/>
      <c r="F41" s="321"/>
      <c r="G41" s="321"/>
      <c r="H41" s="321"/>
      <c r="I41" s="321"/>
      <c r="J41" s="344"/>
      <c r="K41" s="343"/>
      <c r="L41" s="343"/>
      <c r="M41" s="534"/>
      <c r="N41" s="300"/>
      <c r="O41" s="301"/>
      <c r="P41" s="301"/>
      <c r="Q41" s="301"/>
      <c r="R41" s="301"/>
      <c r="S41" s="301"/>
      <c r="T41" s="301"/>
    </row>
    <row r="42" spans="1:20" s="33" customFormat="1" ht="15.75" customHeight="1" outlineLevel="1" x14ac:dyDescent="0.2">
      <c r="A42" s="536" t="str">
        <f>+A35</f>
        <v>Fee type 1</v>
      </c>
      <c r="B42" s="311"/>
      <c r="C42" s="8"/>
      <c r="D42" s="8"/>
      <c r="E42" s="307">
        <v>0</v>
      </c>
      <c r="F42" s="307">
        <v>0</v>
      </c>
      <c r="G42" s="307">
        <v>0</v>
      </c>
      <c r="H42" s="307">
        <v>0</v>
      </c>
      <c r="I42" s="307">
        <v>0</v>
      </c>
      <c r="J42" s="345">
        <f>SUM(E42:I42)</f>
        <v>0</v>
      </c>
      <c r="K42" s="343"/>
      <c r="L42" s="343"/>
      <c r="M42" s="534"/>
      <c r="N42" s="300"/>
      <c r="O42" s="301"/>
      <c r="P42" s="301"/>
      <c r="Q42" s="301"/>
      <c r="R42" s="301"/>
      <c r="S42" s="301"/>
      <c r="T42" s="301"/>
    </row>
    <row r="43" spans="1:20" s="33" customFormat="1" ht="15.75" customHeight="1" outlineLevel="1" x14ac:dyDescent="0.2">
      <c r="A43" s="536" t="str">
        <f>+A36</f>
        <v>Fee type 2</v>
      </c>
      <c r="B43" s="311"/>
      <c r="C43" s="8"/>
      <c r="D43" s="8"/>
      <c r="E43" s="307">
        <v>0</v>
      </c>
      <c r="F43" s="307">
        <v>0</v>
      </c>
      <c r="G43" s="307">
        <v>0</v>
      </c>
      <c r="H43" s="307">
        <v>0</v>
      </c>
      <c r="I43" s="307">
        <v>0</v>
      </c>
      <c r="J43" s="345">
        <f>SUM(E43:I43)</f>
        <v>0</v>
      </c>
      <c r="K43" s="343"/>
      <c r="L43" s="343"/>
      <c r="M43" s="534"/>
      <c r="N43" s="300"/>
      <c r="O43" s="301"/>
      <c r="P43" s="301"/>
      <c r="Q43" s="301"/>
      <c r="R43" s="301"/>
      <c r="S43" s="301"/>
      <c r="T43" s="301"/>
    </row>
    <row r="44" spans="1:20" s="33" customFormat="1" ht="15.75" customHeight="1" outlineLevel="1" x14ac:dyDescent="0.2">
      <c r="A44" s="536" t="str">
        <f>+A37</f>
        <v>Fee type 3</v>
      </c>
      <c r="B44" s="311"/>
      <c r="C44" s="8"/>
      <c r="D44" s="8"/>
      <c r="E44" s="307">
        <v>0</v>
      </c>
      <c r="F44" s="307">
        <v>0</v>
      </c>
      <c r="G44" s="307">
        <v>0</v>
      </c>
      <c r="H44" s="307">
        <v>0</v>
      </c>
      <c r="I44" s="307">
        <v>0</v>
      </c>
      <c r="J44" s="345">
        <f>SUM(E44:I44)</f>
        <v>0</v>
      </c>
      <c r="K44" s="343"/>
      <c r="L44" s="343"/>
      <c r="M44" s="534"/>
      <c r="N44" s="300"/>
      <c r="O44" s="301"/>
      <c r="P44" s="301"/>
      <c r="Q44" s="301"/>
      <c r="R44" s="301"/>
      <c r="S44" s="301"/>
      <c r="T44" s="301"/>
    </row>
    <row r="45" spans="1:20" s="33" customFormat="1" ht="15.75" customHeight="1" outlineLevel="1" x14ac:dyDescent="0.2">
      <c r="A45" s="535" t="str">
        <f>+A38</f>
        <v>Sub Total Fees</v>
      </c>
      <c r="B45" s="311"/>
      <c r="C45" s="8"/>
      <c r="D45" s="8"/>
      <c r="E45" s="347">
        <f t="shared" ref="E45:J45" si="17">SUM(E42:E44)</f>
        <v>0</v>
      </c>
      <c r="F45" s="347">
        <f t="shared" si="17"/>
        <v>0</v>
      </c>
      <c r="G45" s="347">
        <f t="shared" si="17"/>
        <v>0</v>
      </c>
      <c r="H45" s="347">
        <f t="shared" si="17"/>
        <v>0</v>
      </c>
      <c r="I45" s="347">
        <f t="shared" si="17"/>
        <v>0</v>
      </c>
      <c r="J45" s="344">
        <f t="shared" si="17"/>
        <v>0</v>
      </c>
      <c r="K45" s="343"/>
      <c r="L45" s="343"/>
      <c r="M45" s="534"/>
      <c r="N45" s="300"/>
      <c r="O45" s="301"/>
      <c r="P45" s="301"/>
      <c r="Q45" s="301"/>
      <c r="R45" s="301"/>
      <c r="S45" s="301"/>
      <c r="T45" s="301"/>
    </row>
    <row r="46" spans="1:20" s="33" customFormat="1" ht="15.75" customHeight="1" outlineLevel="1" x14ac:dyDescent="0.2">
      <c r="A46" s="536" t="str">
        <f>+A39</f>
        <v>Disbursements</v>
      </c>
      <c r="B46" s="311"/>
      <c r="C46" s="8"/>
      <c r="D46" s="8"/>
      <c r="E46" s="307">
        <v>0</v>
      </c>
      <c r="F46" s="307">
        <v>0</v>
      </c>
      <c r="G46" s="307">
        <v>0</v>
      </c>
      <c r="H46" s="307">
        <v>0</v>
      </c>
      <c r="I46" s="307">
        <v>0</v>
      </c>
      <c r="J46" s="345">
        <f>SUM(E46:I46)</f>
        <v>0</v>
      </c>
      <c r="K46" s="343"/>
      <c r="L46" s="343"/>
      <c r="M46" s="534"/>
      <c r="N46" s="300"/>
      <c r="O46" s="301"/>
      <c r="P46" s="301"/>
      <c r="Q46" s="301"/>
      <c r="R46" s="301"/>
      <c r="S46" s="301"/>
      <c r="T46" s="301"/>
    </row>
    <row r="47" spans="1:20" s="33" customFormat="1" ht="15" customHeight="1" outlineLevel="1" x14ac:dyDescent="0.2">
      <c r="A47" s="539" t="str">
        <f>A41&amp;" Total"</f>
        <v>Change Orders Total</v>
      </c>
      <c r="B47" s="376"/>
      <c r="C47" s="9"/>
      <c r="D47" s="9"/>
      <c r="E47" s="377">
        <f t="shared" ref="E47:J47" si="18">+E45+E46</f>
        <v>0</v>
      </c>
      <c r="F47" s="377">
        <f t="shared" si="18"/>
        <v>0</v>
      </c>
      <c r="G47" s="377">
        <f t="shared" si="18"/>
        <v>0</v>
      </c>
      <c r="H47" s="377">
        <f t="shared" si="18"/>
        <v>0</v>
      </c>
      <c r="I47" s="377">
        <f t="shared" si="18"/>
        <v>0</v>
      </c>
      <c r="J47" s="378">
        <f t="shared" si="18"/>
        <v>0</v>
      </c>
      <c r="K47" s="382"/>
      <c r="L47" s="382"/>
      <c r="M47" s="540"/>
      <c r="N47" s="300"/>
      <c r="O47" s="301"/>
      <c r="P47" s="301"/>
      <c r="Q47" s="301"/>
      <c r="R47" s="301"/>
      <c r="S47" s="301"/>
      <c r="T47" s="301"/>
    </row>
    <row r="48" spans="1:20" s="33" customFormat="1" ht="15.75" customHeight="1" outlineLevel="1" x14ac:dyDescent="0.25">
      <c r="A48" s="526" t="s">
        <v>29</v>
      </c>
      <c r="B48" s="311"/>
      <c r="C48" s="8"/>
      <c r="D48" s="8"/>
      <c r="E48" s="383"/>
      <c r="F48" s="383"/>
      <c r="G48" s="383"/>
      <c r="H48" s="383"/>
      <c r="I48" s="383"/>
      <c r="J48" s="344"/>
      <c r="K48" s="313" t="s">
        <v>186</v>
      </c>
      <c r="L48" s="314" t="s">
        <v>187</v>
      </c>
      <c r="M48" s="541" t="s">
        <v>188</v>
      </c>
      <c r="N48" s="300"/>
      <c r="O48" s="301"/>
      <c r="P48" s="301"/>
      <c r="Q48" s="301"/>
      <c r="R48" s="301"/>
      <c r="S48" s="301"/>
      <c r="T48" s="301"/>
    </row>
    <row r="49" spans="1:20" s="33" customFormat="1" ht="15.75" customHeight="1" outlineLevel="1" x14ac:dyDescent="0.2">
      <c r="A49" s="491" t="str">
        <f>+A35</f>
        <v>Fee type 1</v>
      </c>
      <c r="B49" s="311"/>
      <c r="C49" s="8"/>
      <c r="D49" s="8"/>
      <c r="E49" s="383">
        <f>+E35+E42</f>
        <v>0</v>
      </c>
      <c r="F49" s="383">
        <f t="shared" ref="F49:I51" si="19">+F35+F42</f>
        <v>0</v>
      </c>
      <c r="G49" s="383">
        <f t="shared" si="19"/>
        <v>0</v>
      </c>
      <c r="H49" s="383">
        <f t="shared" si="19"/>
        <v>0</v>
      </c>
      <c r="I49" s="383">
        <f t="shared" si="19"/>
        <v>0</v>
      </c>
      <c r="J49" s="344">
        <f>+J35+J42</f>
        <v>0</v>
      </c>
      <c r="K49" s="606">
        <f>IFERROR((L49/J49),0)</f>
        <v>0</v>
      </c>
      <c r="L49" s="312">
        <f>+J56</f>
        <v>0</v>
      </c>
      <c r="M49" s="542">
        <f>+J49-L49</f>
        <v>0</v>
      </c>
      <c r="N49" s="300"/>
      <c r="O49" s="301"/>
      <c r="P49" s="301"/>
      <c r="Q49" s="301"/>
      <c r="R49" s="301"/>
      <c r="S49" s="301"/>
      <c r="T49" s="301"/>
    </row>
    <row r="50" spans="1:20" s="33" customFormat="1" ht="15.75" customHeight="1" outlineLevel="1" x14ac:dyDescent="0.2">
      <c r="A50" s="491" t="str">
        <f>+A36</f>
        <v>Fee type 2</v>
      </c>
      <c r="B50" s="311"/>
      <c r="C50" s="8"/>
      <c r="D50" s="8"/>
      <c r="E50" s="383">
        <f>+E36+E43</f>
        <v>0</v>
      </c>
      <c r="F50" s="383">
        <f t="shared" si="19"/>
        <v>0</v>
      </c>
      <c r="G50" s="383">
        <f t="shared" si="19"/>
        <v>0</v>
      </c>
      <c r="H50" s="383">
        <f t="shared" si="19"/>
        <v>0</v>
      </c>
      <c r="I50" s="383">
        <f t="shared" si="19"/>
        <v>0</v>
      </c>
      <c r="J50" s="344">
        <f>+J36+J43</f>
        <v>0</v>
      </c>
      <c r="K50" s="606">
        <f>IFERROR((L50/J50),0)</f>
        <v>0</v>
      </c>
      <c r="L50" s="312">
        <f>+J57</f>
        <v>0</v>
      </c>
      <c r="M50" s="542">
        <f>+J50-L50</f>
        <v>0</v>
      </c>
      <c r="N50" s="300"/>
      <c r="O50" s="301"/>
      <c r="P50" s="301"/>
      <c r="Q50" s="301"/>
      <c r="R50" s="301"/>
      <c r="S50" s="301"/>
      <c r="T50" s="301"/>
    </row>
    <row r="51" spans="1:20" s="33" customFormat="1" ht="15.75" customHeight="1" outlineLevel="1" x14ac:dyDescent="0.2">
      <c r="A51" s="491" t="str">
        <f>+A37</f>
        <v>Fee type 3</v>
      </c>
      <c r="B51" s="311"/>
      <c r="C51" s="8"/>
      <c r="D51" s="8"/>
      <c r="E51" s="383">
        <f>+E37+E44</f>
        <v>0</v>
      </c>
      <c r="F51" s="383">
        <f t="shared" si="19"/>
        <v>0</v>
      </c>
      <c r="G51" s="383">
        <f t="shared" si="19"/>
        <v>0</v>
      </c>
      <c r="H51" s="383">
        <f t="shared" si="19"/>
        <v>0</v>
      </c>
      <c r="I51" s="383">
        <f t="shared" si="19"/>
        <v>0</v>
      </c>
      <c r="J51" s="344">
        <f>+J37+J44</f>
        <v>0</v>
      </c>
      <c r="K51" s="606">
        <f t="shared" ref="K51:K54" si="20">IFERROR((L51/J51),0)</f>
        <v>0</v>
      </c>
      <c r="L51" s="312">
        <f>+J58</f>
        <v>0</v>
      </c>
      <c r="M51" s="542">
        <f>+J51-L51</f>
        <v>0</v>
      </c>
      <c r="N51" s="300"/>
      <c r="O51" s="301"/>
      <c r="P51" s="301"/>
      <c r="Q51" s="301"/>
      <c r="R51" s="301"/>
      <c r="S51" s="301"/>
      <c r="T51" s="301"/>
    </row>
    <row r="52" spans="1:20" s="33" customFormat="1" ht="15.75" customHeight="1" outlineLevel="1" x14ac:dyDescent="0.2">
      <c r="A52" s="491" t="str">
        <f>+A45</f>
        <v>Sub Total Fees</v>
      </c>
      <c r="B52" s="311"/>
      <c r="C52" s="8"/>
      <c r="D52" s="8"/>
      <c r="E52" s="347">
        <f>SUM(E49:E51)</f>
        <v>0</v>
      </c>
      <c r="F52" s="347">
        <f>SUM(F49:F51)</f>
        <v>0</v>
      </c>
      <c r="G52" s="347">
        <f t="shared" ref="G52:J52" si="21">SUM(G49:G51)</f>
        <v>0</v>
      </c>
      <c r="H52" s="347">
        <f t="shared" si="21"/>
        <v>0</v>
      </c>
      <c r="I52" s="347">
        <f t="shared" si="21"/>
        <v>0</v>
      </c>
      <c r="J52" s="344">
        <f t="shared" si="21"/>
        <v>0</v>
      </c>
      <c r="K52" s="607">
        <f t="shared" si="20"/>
        <v>0</v>
      </c>
      <c r="L52" s="384">
        <f>SUM(L49:L51)</f>
        <v>0</v>
      </c>
      <c r="M52" s="543">
        <f>SUM(M49:M51)</f>
        <v>0</v>
      </c>
      <c r="N52" s="300"/>
      <c r="O52" s="301"/>
      <c r="P52" s="301"/>
      <c r="Q52" s="301"/>
      <c r="R52" s="301"/>
      <c r="S52" s="301"/>
      <c r="T52" s="301"/>
    </row>
    <row r="53" spans="1:20" s="33" customFormat="1" ht="15.75" customHeight="1" outlineLevel="1" x14ac:dyDescent="0.2">
      <c r="A53" s="491" t="str">
        <f>+A39</f>
        <v>Disbursements</v>
      </c>
      <c r="B53" s="311"/>
      <c r="C53" s="8"/>
      <c r="D53" s="8"/>
      <c r="E53" s="383">
        <f t="shared" ref="E53:J53" si="22">+E39+E46</f>
        <v>0</v>
      </c>
      <c r="F53" s="383">
        <f t="shared" si="22"/>
        <v>0</v>
      </c>
      <c r="G53" s="383">
        <f t="shared" si="22"/>
        <v>0</v>
      </c>
      <c r="H53" s="383">
        <f t="shared" si="22"/>
        <v>0</v>
      </c>
      <c r="I53" s="383">
        <f t="shared" si="22"/>
        <v>0</v>
      </c>
      <c r="J53" s="344">
        <f t="shared" si="22"/>
        <v>0</v>
      </c>
      <c r="K53" s="606">
        <f t="shared" si="20"/>
        <v>0</v>
      </c>
      <c r="L53" s="312">
        <f>+J60</f>
        <v>0</v>
      </c>
      <c r="M53" s="542">
        <f>+J53-L53</f>
        <v>0</v>
      </c>
      <c r="N53" s="300"/>
      <c r="O53" s="301"/>
      <c r="P53" s="301"/>
      <c r="Q53" s="301"/>
      <c r="R53" s="301"/>
      <c r="S53" s="301"/>
      <c r="T53" s="301"/>
    </row>
    <row r="54" spans="1:20" s="33" customFormat="1" ht="15.75" customHeight="1" outlineLevel="1" x14ac:dyDescent="0.2">
      <c r="A54" s="491" t="str">
        <f>A48&amp;" Total"</f>
        <v>Total Contract Total</v>
      </c>
      <c r="B54" s="311"/>
      <c r="C54" s="8"/>
      <c r="D54" s="8"/>
      <c r="E54" s="347">
        <f t="shared" ref="E54:J54" si="23">+E52+E53</f>
        <v>0</v>
      </c>
      <c r="F54" s="347">
        <f t="shared" si="23"/>
        <v>0</v>
      </c>
      <c r="G54" s="347">
        <f t="shared" si="23"/>
        <v>0</v>
      </c>
      <c r="H54" s="347">
        <f t="shared" si="23"/>
        <v>0</v>
      </c>
      <c r="I54" s="347">
        <f t="shared" si="23"/>
        <v>0</v>
      </c>
      <c r="J54" s="344">
        <f t="shared" si="23"/>
        <v>0</v>
      </c>
      <c r="K54" s="607">
        <f t="shared" si="20"/>
        <v>0</v>
      </c>
      <c r="L54" s="384">
        <f>+L52+L53</f>
        <v>0</v>
      </c>
      <c r="M54" s="543">
        <f>+M52+M53</f>
        <v>0</v>
      </c>
      <c r="N54" s="300"/>
      <c r="O54" s="315" t="s">
        <v>85</v>
      </c>
      <c r="P54" s="315">
        <f>+J54-J17</f>
        <v>-2000</v>
      </c>
      <c r="Q54" s="301"/>
      <c r="R54" s="301"/>
      <c r="S54" s="301"/>
      <c r="T54" s="301"/>
    </row>
    <row r="55" spans="1:20" s="33" customFormat="1" ht="15.75" customHeight="1" outlineLevel="1" x14ac:dyDescent="0.25">
      <c r="A55" s="509" t="s">
        <v>217</v>
      </c>
      <c r="B55" s="328"/>
      <c r="C55" s="369" t="s">
        <v>218</v>
      </c>
      <c r="D55" s="346" t="s">
        <v>186</v>
      </c>
      <c r="E55" s="353"/>
      <c r="F55" s="353"/>
      <c r="G55" s="353"/>
      <c r="H55" s="353"/>
      <c r="I55" s="353"/>
      <c r="J55" s="352"/>
      <c r="K55" s="329" t="s">
        <v>235</v>
      </c>
      <c r="L55" s="352"/>
      <c r="M55" s="544"/>
      <c r="N55" s="300"/>
      <c r="O55" s="315"/>
      <c r="P55" s="315"/>
      <c r="Q55" s="301"/>
      <c r="R55" s="301"/>
      <c r="S55" s="301"/>
      <c r="T55" s="301"/>
    </row>
    <row r="56" spans="1:20" s="33" customFormat="1" ht="15.75" customHeight="1" outlineLevel="1" x14ac:dyDescent="0.2">
      <c r="A56" s="491" t="str">
        <f>+A49</f>
        <v>Fee type 1</v>
      </c>
      <c r="B56" s="311"/>
      <c r="C56" s="8"/>
      <c r="D56" s="438">
        <v>0.5</v>
      </c>
      <c r="E56" s="321">
        <f>+$D$56*E49</f>
        <v>0</v>
      </c>
      <c r="F56" s="321">
        <f>+$D$56*F49</f>
        <v>0</v>
      </c>
      <c r="G56" s="321">
        <f>+$D$56*G49</f>
        <v>0</v>
      </c>
      <c r="H56" s="321">
        <f>+$D$56*H49</f>
        <v>0</v>
      </c>
      <c r="I56" s="321">
        <f>+$D$56*I49</f>
        <v>0</v>
      </c>
      <c r="J56" s="308">
        <f>SUM(E56:I56)</f>
        <v>0</v>
      </c>
      <c r="K56" s="799"/>
      <c r="L56" s="799"/>
      <c r="M56" s="800"/>
      <c r="N56" s="300"/>
      <c r="O56" s="315"/>
      <c r="P56" s="315"/>
      <c r="Q56" s="301"/>
      <c r="R56" s="301"/>
      <c r="S56" s="301"/>
      <c r="T56" s="301"/>
    </row>
    <row r="57" spans="1:20" s="33" customFormat="1" ht="15.75" customHeight="1" outlineLevel="1" x14ac:dyDescent="0.2">
      <c r="A57" s="491" t="str">
        <f>+A50</f>
        <v>Fee type 2</v>
      </c>
      <c r="B57" s="311"/>
      <c r="C57" s="8"/>
      <c r="D57" s="438">
        <v>0</v>
      </c>
      <c r="E57" s="321">
        <f>+$D$57*E50</f>
        <v>0</v>
      </c>
      <c r="F57" s="321">
        <f>+$D$57*F50</f>
        <v>0</v>
      </c>
      <c r="G57" s="321">
        <f>+$D$57*G50</f>
        <v>0</v>
      </c>
      <c r="H57" s="321">
        <f>+$D$57*H50</f>
        <v>0</v>
      </c>
      <c r="I57" s="321">
        <f>+$D$57*I50</f>
        <v>0</v>
      </c>
      <c r="J57" s="308">
        <f>SUM(E57:I57)</f>
        <v>0</v>
      </c>
      <c r="K57" s="799"/>
      <c r="L57" s="799"/>
      <c r="M57" s="800"/>
      <c r="N57" s="300"/>
      <c r="O57" s="315"/>
      <c r="P57" s="315"/>
      <c r="Q57" s="301"/>
      <c r="R57" s="301"/>
      <c r="S57" s="301"/>
      <c r="T57" s="301"/>
    </row>
    <row r="58" spans="1:20" s="33" customFormat="1" ht="15.75" customHeight="1" outlineLevel="1" x14ac:dyDescent="0.2">
      <c r="A58" s="491" t="str">
        <f>+A51</f>
        <v>Fee type 3</v>
      </c>
      <c r="B58" s="311"/>
      <c r="C58" s="8"/>
      <c r="D58" s="438">
        <v>0</v>
      </c>
      <c r="E58" s="321">
        <f>+$D$58*E51</f>
        <v>0</v>
      </c>
      <c r="F58" s="321">
        <f>+$D$58*F51</f>
        <v>0</v>
      </c>
      <c r="G58" s="321">
        <f>+$D$58*G51</f>
        <v>0</v>
      </c>
      <c r="H58" s="321">
        <f>+$D$58*H51</f>
        <v>0</v>
      </c>
      <c r="I58" s="321">
        <f>+$D$58*I51</f>
        <v>0</v>
      </c>
      <c r="J58" s="308">
        <f>SUM(E58:I58)</f>
        <v>0</v>
      </c>
      <c r="K58" s="799"/>
      <c r="L58" s="799"/>
      <c r="M58" s="800"/>
      <c r="N58" s="300"/>
      <c r="O58" s="315"/>
      <c r="P58" s="315"/>
      <c r="Q58" s="301"/>
      <c r="R58" s="301"/>
      <c r="S58" s="301"/>
      <c r="T58" s="301"/>
    </row>
    <row r="59" spans="1:20" s="33" customFormat="1" ht="15.75" customHeight="1" outlineLevel="1" x14ac:dyDescent="0.2">
      <c r="A59" s="491" t="s">
        <v>189</v>
      </c>
      <c r="B59" s="311"/>
      <c r="C59" s="8"/>
      <c r="D59" s="720">
        <f t="shared" ref="D59:J59" si="24">SUM(D56:D58)</f>
        <v>0.5</v>
      </c>
      <c r="E59" s="308">
        <f t="shared" si="24"/>
        <v>0</v>
      </c>
      <c r="F59" s="308">
        <f t="shared" si="24"/>
        <v>0</v>
      </c>
      <c r="G59" s="308">
        <f t="shared" si="24"/>
        <v>0</v>
      </c>
      <c r="H59" s="308">
        <f t="shared" si="24"/>
        <v>0</v>
      </c>
      <c r="I59" s="308">
        <f t="shared" si="24"/>
        <v>0</v>
      </c>
      <c r="J59" s="308">
        <f t="shared" si="24"/>
        <v>0</v>
      </c>
      <c r="K59" s="799"/>
      <c r="L59" s="799"/>
      <c r="M59" s="800"/>
      <c r="N59" s="300"/>
      <c r="O59" s="315"/>
      <c r="P59" s="315"/>
      <c r="Q59" s="301"/>
      <c r="R59" s="301"/>
      <c r="S59" s="301"/>
      <c r="T59" s="301"/>
    </row>
    <row r="60" spans="1:20" s="33" customFormat="1" ht="15.75" customHeight="1" outlineLevel="1" x14ac:dyDescent="0.2">
      <c r="A60" s="491" t="str">
        <f>+A53</f>
        <v>Disbursements</v>
      </c>
      <c r="B60" s="311"/>
      <c r="C60" s="548">
        <f>+E53</f>
        <v>0</v>
      </c>
      <c r="D60" s="438" t="e">
        <f>+E60/C60</f>
        <v>#DIV/0!</v>
      </c>
      <c r="E60" s="307">
        <v>0</v>
      </c>
      <c r="F60" s="321">
        <f>IFERROR($C$60*(F53/$J$53),0)</f>
        <v>0</v>
      </c>
      <c r="G60" s="321">
        <f>IFERROR($C$60*(G53/$J$53),0)</f>
        <v>0</v>
      </c>
      <c r="H60" s="321">
        <f>IFERROR($C$60*(H53/$J$53),0)</f>
        <v>0</v>
      </c>
      <c r="I60" s="321">
        <f>IFERROR($C$60*(I53/$J$53),0)</f>
        <v>0</v>
      </c>
      <c r="J60" s="308">
        <f>SUM(E60:I60)</f>
        <v>0</v>
      </c>
      <c r="K60" s="799"/>
      <c r="L60" s="799"/>
      <c r="M60" s="800"/>
      <c r="N60" s="300"/>
      <c r="O60" s="315"/>
      <c r="P60" s="315"/>
      <c r="Q60" s="301"/>
      <c r="R60" s="301"/>
      <c r="S60" s="301"/>
      <c r="T60" s="301"/>
    </row>
    <row r="61" spans="1:20" s="33" customFormat="1" ht="15.75" customHeight="1" outlineLevel="1" x14ac:dyDescent="0.2">
      <c r="A61" s="491" t="str">
        <f>A55&amp;" Total"</f>
        <v>Work Completed to Date Total</v>
      </c>
      <c r="B61" s="311"/>
      <c r="C61" s="8"/>
      <c r="D61" s="379"/>
      <c r="E61" s="308">
        <f>E60+E59</f>
        <v>0</v>
      </c>
      <c r="F61" s="308">
        <f>F60+F59</f>
        <v>0</v>
      </c>
      <c r="G61" s="308">
        <f>G60+G59</f>
        <v>0</v>
      </c>
      <c r="H61" s="308">
        <f>H60+H59</f>
        <v>0</v>
      </c>
      <c r="I61" s="308">
        <f>I60+I59</f>
        <v>0</v>
      </c>
      <c r="J61" s="308">
        <f>+J60+J59</f>
        <v>0</v>
      </c>
      <c r="K61" s="799"/>
      <c r="L61" s="799"/>
      <c r="M61" s="800"/>
      <c r="N61" s="300"/>
      <c r="O61" s="315"/>
      <c r="P61" s="315"/>
      <c r="Q61" s="301"/>
      <c r="R61" s="301"/>
      <c r="S61" s="301"/>
      <c r="T61" s="301"/>
    </row>
    <row r="62" spans="1:20" s="33" customFormat="1" ht="15.75" customHeight="1" outlineLevel="1" thickBot="1" x14ac:dyDescent="0.25">
      <c r="A62" s="512" t="s">
        <v>222</v>
      </c>
      <c r="B62" s="513"/>
      <c r="C62" s="514"/>
      <c r="D62" s="545"/>
      <c r="E62" s="515">
        <f>+E61-E239</f>
        <v>0</v>
      </c>
      <c r="F62" s="515">
        <f>+F61-F239</f>
        <v>0</v>
      </c>
      <c r="G62" s="515">
        <f>+G61-G239</f>
        <v>0</v>
      </c>
      <c r="H62" s="515">
        <f>+H61-H239</f>
        <v>0</v>
      </c>
      <c r="I62" s="515">
        <f>+I61-I239</f>
        <v>0</v>
      </c>
      <c r="J62" s="515">
        <f>SUM(E62:I62)</f>
        <v>0</v>
      </c>
      <c r="K62" s="801"/>
      <c r="L62" s="801"/>
      <c r="M62" s="802"/>
      <c r="N62" s="300"/>
      <c r="O62" s="315"/>
      <c r="P62" s="315"/>
      <c r="Q62" s="301"/>
      <c r="R62" s="301"/>
      <c r="S62" s="301"/>
      <c r="T62" s="301"/>
    </row>
    <row r="63" spans="1:20" s="33" customFormat="1" ht="27" customHeight="1" thickBot="1" x14ac:dyDescent="0.25">
      <c r="A63" s="316"/>
      <c r="B63" s="316"/>
      <c r="C63" s="298"/>
      <c r="D63" s="298"/>
      <c r="E63" s="414" t="s">
        <v>231</v>
      </c>
      <c r="F63" s="299"/>
      <c r="G63" s="414"/>
      <c r="H63" s="299"/>
      <c r="I63" s="299"/>
      <c r="J63" s="307"/>
      <c r="K63" s="317"/>
      <c r="L63" s="300"/>
      <c r="M63" s="300"/>
      <c r="N63" s="300"/>
      <c r="O63" s="301"/>
      <c r="P63" s="301"/>
      <c r="Q63" s="301"/>
      <c r="R63" s="301"/>
      <c r="S63" s="301"/>
      <c r="T63" s="301"/>
    </row>
    <row r="64" spans="1:20" s="33" customFormat="1" ht="18" customHeight="1" outlineLevel="1" collapsed="1" x14ac:dyDescent="0.25">
      <c r="A64" s="480" t="s">
        <v>190</v>
      </c>
      <c r="B64" s="481"/>
      <c r="C64" s="518"/>
      <c r="D64" s="482"/>
      <c r="E64" s="483"/>
      <c r="F64" s="484"/>
      <c r="G64" s="484"/>
      <c r="H64" s="484"/>
      <c r="I64" s="485"/>
      <c r="J64" s="519" t="s">
        <v>51</v>
      </c>
      <c r="K64" s="486" t="s">
        <v>178</v>
      </c>
      <c r="L64" s="487"/>
      <c r="M64" s="488"/>
      <c r="N64" s="302"/>
      <c r="O64" s="301"/>
      <c r="P64" s="301"/>
      <c r="Q64" s="301"/>
      <c r="R64" s="301"/>
      <c r="S64" s="301"/>
      <c r="T64" s="301"/>
    </row>
    <row r="65" spans="1:20" s="33" customFormat="1" ht="18" customHeight="1" outlineLevel="1" x14ac:dyDescent="0.2">
      <c r="A65" s="489"/>
      <c r="B65" s="342"/>
      <c r="C65" s="387"/>
      <c r="D65" s="342"/>
      <c r="E65" s="144" t="str">
        <f>+E33</f>
        <v>Split #1/Fund</v>
      </c>
      <c r="F65" s="144" t="str">
        <f>+F33</f>
        <v>Split #2/Fund</v>
      </c>
      <c r="G65" s="144" t="str">
        <f>+G33</f>
        <v>Split #3/Fund</v>
      </c>
      <c r="H65" s="144" t="str">
        <f>+H33</f>
        <v>Split #4/Fund</v>
      </c>
      <c r="I65" s="144" t="str">
        <f>+I33</f>
        <v>Split #5/Fund</v>
      </c>
      <c r="J65" s="303"/>
      <c r="K65" s="303"/>
      <c r="L65" s="304"/>
      <c r="M65" s="490"/>
      <c r="N65" s="302"/>
      <c r="O65" s="301"/>
      <c r="P65" s="301"/>
      <c r="Q65" s="301"/>
      <c r="R65" s="301"/>
      <c r="S65" s="301"/>
      <c r="T65" s="301"/>
    </row>
    <row r="66" spans="1:20" s="33" customFormat="1" ht="14.25" customHeight="1" outlineLevel="1" x14ac:dyDescent="0.2">
      <c r="A66" s="520" t="s">
        <v>191</v>
      </c>
      <c r="B66" s="266"/>
      <c r="C66" s="8"/>
      <c r="D66" s="8"/>
      <c r="E66" s="307">
        <v>0</v>
      </c>
      <c r="F66" s="307">
        <v>0</v>
      </c>
      <c r="G66" s="307">
        <v>0</v>
      </c>
      <c r="H66" s="307">
        <v>0</v>
      </c>
      <c r="I66" s="307">
        <v>0</v>
      </c>
      <c r="J66" s="389">
        <f>SUM(E66:I66)</f>
        <v>0</v>
      </c>
      <c r="K66" s="385"/>
      <c r="L66" s="81"/>
      <c r="M66" s="521"/>
      <c r="N66" s="302"/>
      <c r="O66" s="301"/>
      <c r="P66" s="301"/>
      <c r="Q66" s="301"/>
      <c r="R66" s="301"/>
      <c r="S66" s="301"/>
      <c r="T66" s="301"/>
    </row>
    <row r="67" spans="1:20" s="33" customFormat="1" ht="14.25" customHeight="1" outlineLevel="1" x14ac:dyDescent="0.2">
      <c r="A67" s="520" t="s">
        <v>192</v>
      </c>
      <c r="B67" s="266"/>
      <c r="C67" s="8"/>
      <c r="D67" s="8"/>
      <c r="E67" s="307">
        <v>0</v>
      </c>
      <c r="F67" s="307">
        <v>0</v>
      </c>
      <c r="G67" s="307">
        <v>0</v>
      </c>
      <c r="H67" s="307">
        <v>0</v>
      </c>
      <c r="I67" s="307">
        <v>0</v>
      </c>
      <c r="J67" s="389">
        <f>SUM(E67:I67)</f>
        <v>0</v>
      </c>
      <c r="K67" s="386">
        <f>+J67-J66</f>
        <v>0</v>
      </c>
      <c r="L67" s="81" t="s">
        <v>269</v>
      </c>
      <c r="M67" s="521"/>
      <c r="N67" s="302"/>
      <c r="O67" s="301"/>
      <c r="P67" s="301"/>
      <c r="Q67" s="301"/>
      <c r="R67" s="301"/>
      <c r="S67" s="301"/>
      <c r="T67" s="301"/>
    </row>
    <row r="68" spans="1:20" s="33" customFormat="1" ht="14.25" customHeight="1" outlineLevel="1" x14ac:dyDescent="0.2">
      <c r="A68" s="520" t="s">
        <v>193</v>
      </c>
      <c r="B68" s="266"/>
      <c r="C68" s="8"/>
      <c r="D68" s="8"/>
      <c r="E68" s="307">
        <v>0</v>
      </c>
      <c r="F68" s="307">
        <v>0</v>
      </c>
      <c r="G68" s="307">
        <v>0</v>
      </c>
      <c r="H68" s="307">
        <v>0</v>
      </c>
      <c r="I68" s="307">
        <v>0</v>
      </c>
      <c r="J68" s="389">
        <f>SUM(E68:I68)</f>
        <v>0</v>
      </c>
      <c r="K68" s="386">
        <f>+J68-J66</f>
        <v>0</v>
      </c>
      <c r="L68" s="81" t="s">
        <v>269</v>
      </c>
      <c r="M68" s="521"/>
      <c r="N68" s="302"/>
      <c r="O68" s="301"/>
      <c r="P68" s="301"/>
      <c r="Q68" s="301"/>
      <c r="R68" s="301"/>
      <c r="S68" s="301"/>
      <c r="T68" s="301"/>
    </row>
    <row r="69" spans="1:20" s="33" customFormat="1" ht="14.25" customHeight="1" outlineLevel="1" x14ac:dyDescent="0.2">
      <c r="A69" s="520" t="s">
        <v>194</v>
      </c>
      <c r="B69" s="266"/>
      <c r="C69" s="8"/>
      <c r="D69" s="8"/>
      <c r="E69" s="307">
        <v>0</v>
      </c>
      <c r="F69" s="307">
        <v>0</v>
      </c>
      <c r="G69" s="307">
        <v>0</v>
      </c>
      <c r="H69" s="307">
        <v>0</v>
      </c>
      <c r="I69" s="307">
        <v>0</v>
      </c>
      <c r="J69" s="389">
        <f>SUM(E69:I69)</f>
        <v>0</v>
      </c>
      <c r="K69" s="386">
        <f>+J69-J66</f>
        <v>0</v>
      </c>
      <c r="L69" s="81" t="s">
        <v>269</v>
      </c>
      <c r="M69" s="521"/>
      <c r="N69" s="302"/>
      <c r="O69" s="301"/>
      <c r="P69" s="301"/>
      <c r="Q69" s="301"/>
      <c r="R69" s="301"/>
      <c r="S69" s="301"/>
      <c r="T69" s="301"/>
    </row>
    <row r="70" spans="1:20" s="33" customFormat="1" ht="14.25" customHeight="1" outlineLevel="1" x14ac:dyDescent="0.2">
      <c r="A70" s="522" t="s">
        <v>271</v>
      </c>
      <c r="B70" s="394"/>
      <c r="C70" s="395"/>
      <c r="D70" s="616"/>
      <c r="E70" s="396">
        <v>0</v>
      </c>
      <c r="F70" s="396">
        <v>0</v>
      </c>
      <c r="G70" s="396">
        <v>0</v>
      </c>
      <c r="H70" s="396">
        <v>0</v>
      </c>
      <c r="I70" s="396">
        <v>0</v>
      </c>
      <c r="J70" s="397">
        <f>SUM(E70:I70)</f>
        <v>0</v>
      </c>
      <c r="K70" s="398">
        <f>+J70-J66</f>
        <v>0</v>
      </c>
      <c r="L70" s="360" t="s">
        <v>269</v>
      </c>
      <c r="M70" s="523"/>
      <c r="N70" s="302"/>
      <c r="O70" s="301"/>
      <c r="P70" s="301"/>
      <c r="Q70" s="301"/>
      <c r="R70" s="301"/>
      <c r="S70" s="301"/>
      <c r="T70" s="301"/>
    </row>
    <row r="71" spans="1:20" s="33" customFormat="1" ht="14.25" customHeight="1" outlineLevel="1" x14ac:dyDescent="0.25">
      <c r="A71" s="524" t="s">
        <v>180</v>
      </c>
      <c r="B71" s="400"/>
      <c r="C71" s="401"/>
      <c r="D71" s="51"/>
      <c r="E71" s="402"/>
      <c r="F71" s="402"/>
      <c r="G71" s="402"/>
      <c r="H71" s="402"/>
      <c r="I71" s="402"/>
      <c r="J71" s="403"/>
      <c r="K71" s="404"/>
      <c r="L71" s="405"/>
      <c r="M71" s="525"/>
      <c r="N71" s="300"/>
      <c r="O71" s="301"/>
      <c r="P71" s="301"/>
      <c r="Q71" s="301"/>
      <c r="R71" s="301"/>
      <c r="S71" s="301"/>
      <c r="T71" s="301"/>
    </row>
    <row r="72" spans="1:20" s="33" customFormat="1" ht="14.25" customHeight="1" outlineLevel="1" x14ac:dyDescent="0.25">
      <c r="A72" s="526"/>
      <c r="B72" s="311"/>
      <c r="C72" s="393" t="s">
        <v>224</v>
      </c>
      <c r="D72" s="717">
        <v>2.5000000000000001E-2</v>
      </c>
      <c r="E72" s="335">
        <f>+$D$72*E66</f>
        <v>0</v>
      </c>
      <c r="F72" s="335">
        <f>+$D$72*F66</f>
        <v>0</v>
      </c>
      <c r="G72" s="335">
        <f>+$D$72*G66</f>
        <v>0</v>
      </c>
      <c r="H72" s="335">
        <f>+$D$72*H66</f>
        <v>0</v>
      </c>
      <c r="I72" s="335">
        <f>+$D$72*I66</f>
        <v>0</v>
      </c>
      <c r="J72" s="388">
        <f>SUM(E72:I72)</f>
        <v>0</v>
      </c>
      <c r="K72" s="322"/>
      <c r="L72" s="70"/>
      <c r="M72" s="527"/>
      <c r="N72" s="300"/>
      <c r="O72" s="301"/>
      <c r="P72" s="301"/>
      <c r="Q72" s="301"/>
      <c r="R72" s="301"/>
      <c r="S72" s="301"/>
      <c r="T72" s="301"/>
    </row>
    <row r="73" spans="1:20" s="33" customFormat="1" ht="14.25" customHeight="1" outlineLevel="1" x14ac:dyDescent="0.25">
      <c r="A73" s="526"/>
      <c r="B73" s="311"/>
      <c r="C73" s="8"/>
      <c r="D73" s="334" t="s">
        <v>195</v>
      </c>
      <c r="E73" s="321"/>
      <c r="F73" s="321"/>
      <c r="G73" s="321"/>
      <c r="H73" s="321"/>
      <c r="I73" s="321"/>
      <c r="J73" s="391"/>
      <c r="K73" s="322"/>
      <c r="L73" s="70"/>
      <c r="M73" s="527"/>
      <c r="N73" s="300"/>
      <c r="O73" s="301"/>
      <c r="P73" s="301"/>
      <c r="Q73" s="301"/>
      <c r="R73" s="301"/>
      <c r="S73" s="301"/>
      <c r="T73" s="301"/>
    </row>
    <row r="74" spans="1:20" s="33" customFormat="1" ht="14.25" customHeight="1" outlineLevel="1" x14ac:dyDescent="0.2">
      <c r="A74" s="491" t="s">
        <v>196</v>
      </c>
      <c r="B74" s="311"/>
      <c r="C74" s="8"/>
      <c r="D74" s="438">
        <v>1</v>
      </c>
      <c r="E74" s="321">
        <f>+$D$74*E72</f>
        <v>0</v>
      </c>
      <c r="F74" s="321">
        <f>+$D$74*F72</f>
        <v>0</v>
      </c>
      <c r="G74" s="321">
        <f>+$D$74*G72</f>
        <v>0</v>
      </c>
      <c r="H74" s="321">
        <f>+$D$74*H72</f>
        <v>0</v>
      </c>
      <c r="I74" s="321">
        <f>+$D$74*I72</f>
        <v>0</v>
      </c>
      <c r="J74" s="389">
        <f>SUM(E74:I74)</f>
        <v>0</v>
      </c>
      <c r="K74" s="322"/>
      <c r="L74" s="70"/>
      <c r="M74" s="527"/>
      <c r="N74" s="300"/>
      <c r="O74" s="301"/>
      <c r="P74" s="301"/>
      <c r="Q74" s="301"/>
      <c r="R74" s="301"/>
      <c r="S74" s="301"/>
      <c r="T74" s="301"/>
    </row>
    <row r="75" spans="1:20" s="33" customFormat="1" ht="14.25" customHeight="1" outlineLevel="1" x14ac:dyDescent="0.2">
      <c r="A75" s="491" t="s">
        <v>197</v>
      </c>
      <c r="B75" s="311"/>
      <c r="C75" s="8"/>
      <c r="D75" s="438"/>
      <c r="E75" s="321">
        <f>+$D$75*E72</f>
        <v>0</v>
      </c>
      <c r="F75" s="321">
        <f>+$D$75*F72</f>
        <v>0</v>
      </c>
      <c r="G75" s="321">
        <f>+$D$75*G72</f>
        <v>0</v>
      </c>
      <c r="H75" s="321">
        <f>+$D$75*H72</f>
        <v>0</v>
      </c>
      <c r="I75" s="321">
        <f>+$D$75*I72</f>
        <v>0</v>
      </c>
      <c r="J75" s="389">
        <f>SUM(E75:I75)</f>
        <v>0</v>
      </c>
      <c r="K75" s="322"/>
      <c r="L75" s="70"/>
      <c r="M75" s="527"/>
      <c r="N75" s="300"/>
      <c r="O75" s="301"/>
      <c r="P75" s="301"/>
      <c r="Q75" s="301"/>
      <c r="R75" s="301"/>
      <c r="S75" s="301"/>
      <c r="T75" s="301"/>
    </row>
    <row r="76" spans="1:20" s="33" customFormat="1" ht="14.25" customHeight="1" outlineLevel="1" x14ac:dyDescent="0.2">
      <c r="A76" s="503" t="s">
        <v>198</v>
      </c>
      <c r="B76" s="323"/>
      <c r="C76" s="8"/>
      <c r="D76" s="438"/>
      <c r="E76" s="474">
        <f>+$D$76*E72</f>
        <v>0</v>
      </c>
      <c r="F76" s="472">
        <f>+$D$76*F72</f>
        <v>0</v>
      </c>
      <c r="G76" s="472">
        <f>+$D$76*G72</f>
        <v>0</v>
      </c>
      <c r="H76" s="472">
        <f>+$D$76*H72</f>
        <v>0</v>
      </c>
      <c r="I76" s="472">
        <f>+$D$76*I72</f>
        <v>0</v>
      </c>
      <c r="J76" s="473">
        <f>SUM(E76:I76)</f>
        <v>0</v>
      </c>
      <c r="K76" s="51"/>
      <c r="L76" s="51"/>
      <c r="M76" s="506"/>
      <c r="N76" s="300"/>
      <c r="O76" s="301"/>
      <c r="P76" s="301"/>
      <c r="Q76" s="301"/>
      <c r="R76" s="301"/>
      <c r="S76" s="301"/>
      <c r="T76" s="301"/>
    </row>
    <row r="77" spans="1:20" s="33" customFormat="1" ht="14.25" customHeight="1" outlineLevel="1" x14ac:dyDescent="0.2">
      <c r="A77" s="491" t="str">
        <f>A74&amp;" Total"</f>
        <v>Basic Fee Total</v>
      </c>
      <c r="B77" s="311"/>
      <c r="C77" s="8"/>
      <c r="D77" s="721">
        <f t="shared" ref="D77:J77" si="25">SUM(D74:D76)</f>
        <v>1</v>
      </c>
      <c r="E77" s="308">
        <f t="shared" si="25"/>
        <v>0</v>
      </c>
      <c r="F77" s="308">
        <f t="shared" si="25"/>
        <v>0</v>
      </c>
      <c r="G77" s="308">
        <f t="shared" si="25"/>
        <v>0</v>
      </c>
      <c r="H77" s="308">
        <f t="shared" si="25"/>
        <v>0</v>
      </c>
      <c r="I77" s="308">
        <f t="shared" si="25"/>
        <v>0</v>
      </c>
      <c r="J77" s="309">
        <f t="shared" si="25"/>
        <v>0</v>
      </c>
      <c r="K77" s="51"/>
      <c r="L77" s="51"/>
      <c r="M77" s="506"/>
      <c r="N77" s="300"/>
      <c r="O77" s="301"/>
      <c r="P77" s="301"/>
      <c r="Q77" s="301"/>
      <c r="R77" s="301"/>
      <c r="S77" s="301"/>
      <c r="T77" s="301"/>
    </row>
    <row r="78" spans="1:20" s="33" customFormat="1" ht="14.25" customHeight="1" outlineLevel="1" x14ac:dyDescent="0.2">
      <c r="A78" s="491" t="str">
        <f>+A39</f>
        <v>Disbursements</v>
      </c>
      <c r="B78" s="311"/>
      <c r="C78" s="8"/>
      <c r="D78" s="419"/>
      <c r="E78" s="307">
        <v>0</v>
      </c>
      <c r="F78" s="307">
        <v>0</v>
      </c>
      <c r="G78" s="307">
        <v>0</v>
      </c>
      <c r="H78" s="307">
        <v>0</v>
      </c>
      <c r="I78" s="307">
        <v>0</v>
      </c>
      <c r="J78" s="389">
        <f t="shared" ref="J78:J85" si="26">SUM(E78:I78)</f>
        <v>0</v>
      </c>
      <c r="K78" s="51"/>
      <c r="L78" s="51"/>
      <c r="M78" s="506"/>
      <c r="N78" s="300"/>
      <c r="O78" s="301"/>
      <c r="P78" s="301"/>
      <c r="Q78" s="301"/>
      <c r="R78" s="301"/>
      <c r="S78" s="301"/>
      <c r="T78" s="301"/>
    </row>
    <row r="79" spans="1:20" s="33" customFormat="1" ht="14.25" customHeight="1" outlineLevel="1" x14ac:dyDescent="0.2">
      <c r="A79" s="502" t="str">
        <f>A71&amp;" Total"</f>
        <v>Original Contract Fees Total</v>
      </c>
      <c r="B79" s="372"/>
      <c r="C79" s="373"/>
      <c r="D79" s="420"/>
      <c r="E79" s="406">
        <f>SUM(E77:E78)</f>
        <v>0</v>
      </c>
      <c r="F79" s="406">
        <f>SUM(F77:F78)</f>
        <v>0</v>
      </c>
      <c r="G79" s="406">
        <f>SUM(G77:G78)</f>
        <v>0</v>
      </c>
      <c r="H79" s="406">
        <f>SUM(H77:H78)</f>
        <v>0</v>
      </c>
      <c r="I79" s="406">
        <f>SUM(I77:I78)</f>
        <v>0</v>
      </c>
      <c r="J79" s="407">
        <f t="shared" si="26"/>
        <v>0</v>
      </c>
      <c r="K79" s="408"/>
      <c r="L79" s="409"/>
      <c r="M79" s="528"/>
      <c r="N79" s="300"/>
      <c r="O79" s="301"/>
      <c r="P79" s="301"/>
      <c r="Q79" s="301"/>
      <c r="R79" s="301"/>
      <c r="S79" s="301"/>
      <c r="T79" s="301"/>
    </row>
    <row r="80" spans="1:20" s="33" customFormat="1" ht="14.25" customHeight="1" outlineLevel="1" x14ac:dyDescent="0.25">
      <c r="A80" s="524" t="str">
        <f>+A41</f>
        <v>Change Orders</v>
      </c>
      <c r="B80" s="400"/>
      <c r="C80" s="431" t="s">
        <v>232</v>
      </c>
      <c r="D80" s="719">
        <f>+D72</f>
        <v>2.5000000000000001E-2</v>
      </c>
      <c r="E80" s="335">
        <f>IF(E69&lt;&gt;0,(E69-E66)*$D80,IF(E68&lt;&gt;0,(E68-E66)*$D80,IF(E67&lt;&gt;0,(E67-E66)*$D80,0)))</f>
        <v>0</v>
      </c>
      <c r="F80" s="335">
        <f>IF(F69&lt;&gt;0,(F69-F66)*$D80,IF(F68&lt;&gt;0,(F68-F66)*$D80,IF(F67&lt;&gt;0,(F67-F66)*$D80,0)))</f>
        <v>0</v>
      </c>
      <c r="G80" s="335">
        <f>IF(G69&lt;&gt;0,(G69-G66)*$D80,IF(G68&lt;&gt;0,(G68-G66)*$D80,IF(G67&lt;&gt;0,(G67-G66)*$D80,0)))</f>
        <v>0</v>
      </c>
      <c r="H80" s="335">
        <f>IF(H69&lt;&gt;0,(H69-H66)*$D80,IF(H68&lt;&gt;0,(H68-H66)*$D80,IF(H67&lt;&gt;0,(H67-H66)*$D80,0)))</f>
        <v>0</v>
      </c>
      <c r="I80" s="335">
        <f>IF(I69&lt;&gt;0,(I69-I66)*$D80,IF(I68&lt;&gt;0,(I68-I66)*$D80,IF(I67&lt;&gt;0,(I67-I66)*$D80,0)))</f>
        <v>0</v>
      </c>
      <c r="J80" s="388">
        <f t="shared" si="26"/>
        <v>0</v>
      </c>
      <c r="K80" s="401"/>
      <c r="L80" s="401"/>
      <c r="M80" s="529"/>
      <c r="N80" s="300"/>
      <c r="O80" s="301"/>
      <c r="P80" s="301"/>
      <c r="Q80" s="301"/>
      <c r="R80" s="301"/>
      <c r="S80" s="301"/>
      <c r="T80" s="301"/>
    </row>
    <row r="81" spans="1:20" s="33" customFormat="1" ht="14.25" customHeight="1" outlineLevel="1" x14ac:dyDescent="0.2">
      <c r="A81" s="491" t="str">
        <f>+A74</f>
        <v>Basic Fee</v>
      </c>
      <c r="B81" s="311"/>
      <c r="C81" s="8"/>
      <c r="D81" s="721">
        <f>+D74</f>
        <v>1</v>
      </c>
      <c r="E81" s="321">
        <f>$D81*E$80</f>
        <v>0</v>
      </c>
      <c r="F81" s="321">
        <f t="shared" ref="F81:I83" si="27">$D81*F$80</f>
        <v>0</v>
      </c>
      <c r="G81" s="321">
        <f t="shared" si="27"/>
        <v>0</v>
      </c>
      <c r="H81" s="321">
        <f t="shared" si="27"/>
        <v>0</v>
      </c>
      <c r="I81" s="321">
        <f t="shared" si="27"/>
        <v>0</v>
      </c>
      <c r="J81" s="389">
        <f t="shared" si="26"/>
        <v>0</v>
      </c>
      <c r="K81" s="322"/>
      <c r="L81" s="70"/>
      <c r="M81" s="527"/>
      <c r="N81" s="300"/>
      <c r="O81" s="301"/>
      <c r="P81" s="301"/>
      <c r="Q81" s="301"/>
      <c r="R81" s="301"/>
      <c r="S81" s="301"/>
      <c r="T81" s="301"/>
    </row>
    <row r="82" spans="1:20" s="33" customFormat="1" ht="14.25" customHeight="1" outlineLevel="1" x14ac:dyDescent="0.2">
      <c r="A82" s="491" t="str">
        <f>+A75</f>
        <v>Complexity Charge</v>
      </c>
      <c r="B82" s="311"/>
      <c r="C82" s="8"/>
      <c r="D82" s="721">
        <f>+D75</f>
        <v>0</v>
      </c>
      <c r="E82" s="321">
        <f>$D82*E$80</f>
        <v>0</v>
      </c>
      <c r="F82" s="321">
        <f t="shared" si="27"/>
        <v>0</v>
      </c>
      <c r="G82" s="321">
        <f t="shared" si="27"/>
        <v>0</v>
      </c>
      <c r="H82" s="321">
        <f t="shared" si="27"/>
        <v>0</v>
      </c>
      <c r="I82" s="321">
        <f t="shared" si="27"/>
        <v>0</v>
      </c>
      <c r="J82" s="389">
        <f t="shared" si="26"/>
        <v>0</v>
      </c>
      <c r="K82" s="322"/>
      <c r="L82" s="70"/>
      <c r="M82" s="527"/>
      <c r="N82" s="300"/>
      <c r="O82" s="301"/>
      <c r="P82" s="301"/>
      <c r="Q82" s="301"/>
      <c r="R82" s="301"/>
      <c r="S82" s="301"/>
      <c r="T82" s="301"/>
    </row>
    <row r="83" spans="1:20" s="33" customFormat="1" ht="14.25" customHeight="1" outlineLevel="1" x14ac:dyDescent="0.2">
      <c r="A83" s="491" t="str">
        <f>+A76</f>
        <v>Other</v>
      </c>
      <c r="B83" s="311"/>
      <c r="C83" s="8"/>
      <c r="D83" s="721">
        <f>+D76</f>
        <v>0</v>
      </c>
      <c r="E83" s="472">
        <f>$D83*E$80</f>
        <v>0</v>
      </c>
      <c r="F83" s="472">
        <f t="shared" si="27"/>
        <v>0</v>
      </c>
      <c r="G83" s="472">
        <f t="shared" si="27"/>
        <v>0</v>
      </c>
      <c r="H83" s="472">
        <f t="shared" si="27"/>
        <v>0</v>
      </c>
      <c r="I83" s="472">
        <f t="shared" si="27"/>
        <v>0</v>
      </c>
      <c r="J83" s="473">
        <f t="shared" si="26"/>
        <v>0</v>
      </c>
      <c r="K83" s="322"/>
      <c r="L83" s="70"/>
      <c r="M83" s="527"/>
      <c r="N83" s="300"/>
      <c r="O83" s="301"/>
      <c r="P83" s="301"/>
      <c r="Q83" s="301"/>
      <c r="R83" s="301"/>
      <c r="S83" s="301"/>
      <c r="T83" s="301"/>
    </row>
    <row r="84" spans="1:20" s="33" customFormat="1" ht="14.25" customHeight="1" outlineLevel="1" x14ac:dyDescent="0.2">
      <c r="A84" s="491" t="str">
        <f>+A77</f>
        <v>Basic Fee Total</v>
      </c>
      <c r="B84" s="311"/>
      <c r="C84" s="8"/>
      <c r="D84" s="721">
        <f t="shared" ref="D84:I84" si="28">SUM(D81:D83)</f>
        <v>1</v>
      </c>
      <c r="E84" s="308">
        <f t="shared" si="28"/>
        <v>0</v>
      </c>
      <c r="F84" s="308">
        <f t="shared" si="28"/>
        <v>0</v>
      </c>
      <c r="G84" s="308">
        <f t="shared" si="28"/>
        <v>0</v>
      </c>
      <c r="H84" s="308">
        <f t="shared" si="28"/>
        <v>0</v>
      </c>
      <c r="I84" s="308">
        <f t="shared" si="28"/>
        <v>0</v>
      </c>
      <c r="J84" s="389">
        <f t="shared" si="26"/>
        <v>0</v>
      </c>
      <c r="K84" s="322"/>
      <c r="L84" s="70"/>
      <c r="M84" s="527"/>
      <c r="N84" s="300"/>
      <c r="O84" s="301"/>
      <c r="P84" s="301"/>
      <c r="Q84" s="301"/>
      <c r="R84" s="301"/>
      <c r="S84" s="301"/>
      <c r="T84" s="301"/>
    </row>
    <row r="85" spans="1:20" s="33" customFormat="1" ht="14.25" customHeight="1" outlineLevel="1" x14ac:dyDescent="0.2">
      <c r="A85" s="491" t="str">
        <f>+A78</f>
        <v>Disbursements</v>
      </c>
      <c r="B85" s="311"/>
      <c r="C85" s="8"/>
      <c r="D85" s="419"/>
      <c r="E85" s="392">
        <v>0</v>
      </c>
      <c r="F85" s="392">
        <v>0</v>
      </c>
      <c r="G85" s="392">
        <v>0</v>
      </c>
      <c r="H85" s="392">
        <v>0</v>
      </c>
      <c r="I85" s="392">
        <v>0</v>
      </c>
      <c r="J85" s="389">
        <f t="shared" si="26"/>
        <v>0</v>
      </c>
      <c r="K85" s="322"/>
      <c r="L85" s="70"/>
      <c r="M85" s="527"/>
      <c r="N85" s="315" t="s">
        <v>85</v>
      </c>
      <c r="O85" s="301"/>
      <c r="P85" s="301"/>
      <c r="Q85" s="301"/>
      <c r="R85" s="301"/>
      <c r="S85" s="301"/>
      <c r="T85" s="301"/>
    </row>
    <row r="86" spans="1:20" s="33" customFormat="1" ht="14.25" customHeight="1" outlineLevel="1" x14ac:dyDescent="0.2">
      <c r="A86" s="502" t="str">
        <f>A80&amp;" Total"</f>
        <v>Change Orders Total</v>
      </c>
      <c r="B86" s="372"/>
      <c r="C86" s="373"/>
      <c r="D86" s="373"/>
      <c r="E86" s="412">
        <f>SUM(E84:E85)</f>
        <v>0</v>
      </c>
      <c r="F86" s="412">
        <f>SUM(F84:F85)</f>
        <v>0</v>
      </c>
      <c r="G86" s="412">
        <f>SUM(G84:G85)</f>
        <v>0</v>
      </c>
      <c r="H86" s="412">
        <f>SUM(H84:H85)</f>
        <v>0</v>
      </c>
      <c r="I86" s="412">
        <f>SUM(I84:I85)</f>
        <v>0</v>
      </c>
      <c r="J86" s="411">
        <f>SUM(J81:J85)</f>
        <v>0</v>
      </c>
      <c r="K86" s="408"/>
      <c r="L86" s="409"/>
      <c r="M86" s="528"/>
      <c r="N86" s="413">
        <f>+J86-J208</f>
        <v>0</v>
      </c>
      <c r="O86" s="301"/>
      <c r="P86" s="301"/>
      <c r="Q86" s="301"/>
      <c r="R86" s="301"/>
      <c r="S86" s="301"/>
      <c r="T86" s="301"/>
    </row>
    <row r="87" spans="1:20" s="33" customFormat="1" ht="14.25" customHeight="1" outlineLevel="1" x14ac:dyDescent="0.25">
      <c r="A87" s="526" t="s">
        <v>29</v>
      </c>
      <c r="B87" s="311"/>
      <c r="C87" s="8"/>
      <c r="D87" s="8"/>
      <c r="E87" s="321"/>
      <c r="F87" s="321"/>
      <c r="G87" s="321"/>
      <c r="H87" s="321"/>
      <c r="I87" s="321"/>
      <c r="J87" s="384"/>
      <c r="K87" s="325" t="s">
        <v>186</v>
      </c>
      <c r="L87" s="608" t="s">
        <v>242</v>
      </c>
      <c r="M87" s="505" t="s">
        <v>188</v>
      </c>
      <c r="N87" s="300"/>
      <c r="O87" s="301"/>
      <c r="P87" s="301"/>
      <c r="Q87" s="301"/>
      <c r="R87" s="301"/>
      <c r="S87" s="301"/>
      <c r="T87" s="301"/>
    </row>
    <row r="88" spans="1:20" s="33" customFormat="1" ht="14.25" customHeight="1" outlineLevel="1" x14ac:dyDescent="0.2">
      <c r="A88" s="491" t="str">
        <f>+A74</f>
        <v>Basic Fee</v>
      </c>
      <c r="B88" s="311"/>
      <c r="C88" s="8"/>
      <c r="D88" s="8"/>
      <c r="E88" s="321">
        <f t="shared" ref="E88:J88" si="29">+E81+E74</f>
        <v>0</v>
      </c>
      <c r="F88" s="321">
        <f t="shared" si="29"/>
        <v>0</v>
      </c>
      <c r="G88" s="321">
        <f t="shared" si="29"/>
        <v>0</v>
      </c>
      <c r="H88" s="321">
        <f t="shared" si="29"/>
        <v>0</v>
      </c>
      <c r="I88" s="321">
        <f t="shared" si="29"/>
        <v>0</v>
      </c>
      <c r="J88" s="384">
        <f t="shared" si="29"/>
        <v>0</v>
      </c>
      <c r="K88" s="681">
        <f>IFERROR((J95/J88),0)</f>
        <v>0</v>
      </c>
      <c r="L88" s="441">
        <f>+J95</f>
        <v>0</v>
      </c>
      <c r="M88" s="610">
        <f>+J88-L88</f>
        <v>0</v>
      </c>
      <c r="N88" s="300"/>
      <c r="O88" s="301"/>
      <c r="P88" s="301"/>
      <c r="Q88" s="301"/>
      <c r="R88" s="301"/>
      <c r="S88" s="301"/>
      <c r="T88" s="301"/>
    </row>
    <row r="89" spans="1:20" s="33" customFormat="1" ht="14.25" customHeight="1" outlineLevel="1" x14ac:dyDescent="0.2">
      <c r="A89" s="491" t="str">
        <f>+A75</f>
        <v>Complexity Charge</v>
      </c>
      <c r="B89" s="311"/>
      <c r="C89" s="8"/>
      <c r="D89" s="8"/>
      <c r="E89" s="321">
        <f t="shared" ref="E89:J90" si="30">+E75+E82</f>
        <v>0</v>
      </c>
      <c r="F89" s="321">
        <f t="shared" si="30"/>
        <v>0</v>
      </c>
      <c r="G89" s="321">
        <f t="shared" si="30"/>
        <v>0</v>
      </c>
      <c r="H89" s="321">
        <f t="shared" si="30"/>
        <v>0</v>
      </c>
      <c r="I89" s="321">
        <f t="shared" si="30"/>
        <v>0</v>
      </c>
      <c r="J89" s="384">
        <f t="shared" si="30"/>
        <v>0</v>
      </c>
      <c r="K89" s="681">
        <f t="shared" ref="K89:K93" si="31">IFERROR((J96/J89),0)</f>
        <v>0</v>
      </c>
      <c r="L89" s="441">
        <f>+J96</f>
        <v>0</v>
      </c>
      <c r="M89" s="610">
        <f>+J89-L89</f>
        <v>0</v>
      </c>
      <c r="N89" s="300"/>
      <c r="O89" s="301"/>
      <c r="P89" s="301"/>
      <c r="Q89" s="301"/>
      <c r="R89" s="301"/>
      <c r="S89" s="301"/>
      <c r="T89" s="301"/>
    </row>
    <row r="90" spans="1:20" s="33" customFormat="1" ht="14.25" customHeight="1" outlineLevel="1" x14ac:dyDescent="0.2">
      <c r="A90" s="491" t="str">
        <f>+A76</f>
        <v>Other</v>
      </c>
      <c r="B90" s="311"/>
      <c r="C90" s="8"/>
      <c r="D90" s="8"/>
      <c r="E90" s="321">
        <f t="shared" si="30"/>
        <v>0</v>
      </c>
      <c r="F90" s="321">
        <f t="shared" si="30"/>
        <v>0</v>
      </c>
      <c r="G90" s="321">
        <f t="shared" si="30"/>
        <v>0</v>
      </c>
      <c r="H90" s="321">
        <f t="shared" si="30"/>
        <v>0</v>
      </c>
      <c r="I90" s="321">
        <f t="shared" si="30"/>
        <v>0</v>
      </c>
      <c r="J90" s="384">
        <f t="shared" si="30"/>
        <v>0</v>
      </c>
      <c r="K90" s="681">
        <f t="shared" si="31"/>
        <v>0</v>
      </c>
      <c r="L90" s="441">
        <f>+J97</f>
        <v>0</v>
      </c>
      <c r="M90" s="610">
        <f>+J90-L90</f>
        <v>0</v>
      </c>
      <c r="N90" s="300"/>
      <c r="O90" s="301"/>
      <c r="P90" s="301"/>
      <c r="Q90" s="301"/>
      <c r="R90" s="301"/>
      <c r="S90" s="301"/>
      <c r="T90" s="301"/>
    </row>
    <row r="91" spans="1:20" s="33" customFormat="1" ht="14.25" customHeight="1" outlineLevel="1" x14ac:dyDescent="0.2">
      <c r="A91" s="491" t="str">
        <f>+A77</f>
        <v>Basic Fee Total</v>
      </c>
      <c r="B91" s="311"/>
      <c r="C91" s="8"/>
      <c r="D91" s="8"/>
      <c r="E91" s="308">
        <f t="shared" ref="E91:J91" si="32">SUM(E88:E90)</f>
        <v>0</v>
      </c>
      <c r="F91" s="308">
        <f t="shared" si="32"/>
        <v>0</v>
      </c>
      <c r="G91" s="308">
        <f t="shared" si="32"/>
        <v>0</v>
      </c>
      <c r="H91" s="308">
        <f t="shared" si="32"/>
        <v>0</v>
      </c>
      <c r="I91" s="308">
        <f t="shared" si="32"/>
        <v>0</v>
      </c>
      <c r="J91" s="384">
        <f t="shared" si="32"/>
        <v>0</v>
      </c>
      <c r="K91" s="681">
        <f t="shared" si="31"/>
        <v>0</v>
      </c>
      <c r="L91" s="609">
        <f>SUM(L88:L90)</f>
        <v>0</v>
      </c>
      <c r="M91" s="611">
        <f>SUM(M88:M90)</f>
        <v>0</v>
      </c>
      <c r="N91" s="300"/>
      <c r="O91" s="301"/>
      <c r="P91" s="301"/>
      <c r="Q91" s="301"/>
      <c r="R91" s="301"/>
      <c r="S91" s="301"/>
      <c r="T91" s="301"/>
    </row>
    <row r="92" spans="1:20" s="33" customFormat="1" ht="14.25" customHeight="1" outlineLevel="1" x14ac:dyDescent="0.2">
      <c r="A92" s="491" t="str">
        <f>+A78</f>
        <v>Disbursements</v>
      </c>
      <c r="B92" s="311"/>
      <c r="C92" s="8"/>
      <c r="D92" s="8"/>
      <c r="E92" s="321">
        <f>E78+E85</f>
        <v>0</v>
      </c>
      <c r="F92" s="321">
        <f>F78+F85</f>
        <v>0</v>
      </c>
      <c r="G92" s="321">
        <f>G78+G85</f>
        <v>0</v>
      </c>
      <c r="H92" s="321">
        <f>H78+H85</f>
        <v>0</v>
      </c>
      <c r="I92" s="321">
        <f>I78+I85</f>
        <v>0</v>
      </c>
      <c r="J92" s="384">
        <f>+J85+J78</f>
        <v>0</v>
      </c>
      <c r="K92" s="681">
        <f t="shared" si="31"/>
        <v>0</v>
      </c>
      <c r="L92" s="441">
        <f>+J99</f>
        <v>2000</v>
      </c>
      <c r="M92" s="610">
        <f>+J92-L92</f>
        <v>-2000</v>
      </c>
      <c r="N92" s="300"/>
      <c r="O92" s="301"/>
      <c r="P92" s="301"/>
      <c r="Q92" s="301"/>
      <c r="R92" s="301"/>
      <c r="S92" s="301"/>
      <c r="T92" s="301"/>
    </row>
    <row r="93" spans="1:20" s="33" customFormat="1" ht="14.25" customHeight="1" outlineLevel="1" x14ac:dyDescent="0.2">
      <c r="A93" s="491" t="s">
        <v>29</v>
      </c>
      <c r="B93" s="311"/>
      <c r="C93" s="8"/>
      <c r="D93" s="8"/>
      <c r="E93" s="308">
        <f>+E91+E92</f>
        <v>0</v>
      </c>
      <c r="F93" s="308">
        <f t="shared" ref="F93:M93" si="33">+F91+F92</f>
        <v>0</v>
      </c>
      <c r="G93" s="308">
        <f t="shared" si="33"/>
        <v>0</v>
      </c>
      <c r="H93" s="308">
        <f t="shared" si="33"/>
        <v>0</v>
      </c>
      <c r="I93" s="308">
        <f t="shared" si="33"/>
        <v>0</v>
      </c>
      <c r="J93" s="384">
        <f t="shared" si="33"/>
        <v>0</v>
      </c>
      <c r="K93" s="681">
        <f t="shared" si="31"/>
        <v>0</v>
      </c>
      <c r="L93" s="609">
        <f>+L91+L92</f>
        <v>2000</v>
      </c>
      <c r="M93" s="611">
        <f t="shared" si="33"/>
        <v>-2000</v>
      </c>
      <c r="N93" s="300"/>
      <c r="O93" s="301"/>
      <c r="P93" s="301"/>
      <c r="Q93" s="301"/>
      <c r="R93" s="301"/>
      <c r="S93" s="301"/>
      <c r="T93" s="301"/>
    </row>
    <row r="94" spans="1:20" s="33" customFormat="1" ht="14.25" customHeight="1" outlineLevel="1" x14ac:dyDescent="0.25">
      <c r="A94" s="509" t="str">
        <f>+A55</f>
        <v>Work Completed to Date</v>
      </c>
      <c r="B94" s="328"/>
      <c r="C94" s="318" t="s">
        <v>218</v>
      </c>
      <c r="D94" s="346" t="s">
        <v>186</v>
      </c>
      <c r="E94" s="329"/>
      <c r="F94" s="329"/>
      <c r="G94" s="329"/>
      <c r="H94" s="329"/>
      <c r="I94" s="329"/>
      <c r="J94" s="351"/>
      <c r="K94" s="329" t="s">
        <v>235</v>
      </c>
      <c r="L94" s="329"/>
      <c r="M94" s="510"/>
      <c r="N94" s="300"/>
      <c r="O94" s="301"/>
      <c r="P94" s="301"/>
      <c r="Q94" s="301"/>
      <c r="R94" s="301"/>
      <c r="S94" s="301"/>
      <c r="T94" s="301"/>
    </row>
    <row r="95" spans="1:20" s="33" customFormat="1" ht="14.25" customHeight="1" outlineLevel="1" x14ac:dyDescent="0.2">
      <c r="A95" s="491" t="str">
        <f>+A88</f>
        <v>Basic Fee</v>
      </c>
      <c r="B95" s="311"/>
      <c r="C95" s="8"/>
      <c r="D95" s="711">
        <v>0.1</v>
      </c>
      <c r="E95" s="320">
        <f>+$D$95*E88</f>
        <v>0</v>
      </c>
      <c r="F95" s="320">
        <f>+$D$95*F88</f>
        <v>0</v>
      </c>
      <c r="G95" s="320">
        <f>+$D$95*G88</f>
        <v>0</v>
      </c>
      <c r="H95" s="320">
        <f>+$D$95*H88</f>
        <v>0</v>
      </c>
      <c r="I95" s="320">
        <f>+$D$95*I88</f>
        <v>0</v>
      </c>
      <c r="J95" s="309">
        <f>SUM(E95:I95)</f>
        <v>0</v>
      </c>
      <c r="K95" s="799"/>
      <c r="L95" s="799"/>
      <c r="M95" s="800"/>
      <c r="N95" s="300"/>
      <c r="O95" s="301"/>
      <c r="P95" s="301"/>
      <c r="Q95" s="301"/>
      <c r="R95" s="301"/>
      <c r="S95" s="301"/>
      <c r="T95" s="301"/>
    </row>
    <row r="96" spans="1:20" s="33" customFormat="1" ht="14.25" customHeight="1" outlineLevel="1" x14ac:dyDescent="0.2">
      <c r="A96" s="491" t="str">
        <f>+A89</f>
        <v>Complexity Charge</v>
      </c>
      <c r="B96" s="311"/>
      <c r="C96" s="8"/>
      <c r="D96" s="711">
        <v>0</v>
      </c>
      <c r="E96" s="320">
        <f>+$D$96*E89</f>
        <v>0</v>
      </c>
      <c r="F96" s="320">
        <f>+$D$96*F89</f>
        <v>0</v>
      </c>
      <c r="G96" s="320">
        <f>+$D$96*G89</f>
        <v>0</v>
      </c>
      <c r="H96" s="320">
        <f>+$D$96*H89</f>
        <v>0</v>
      </c>
      <c r="I96" s="320">
        <f>+$D$96*I89</f>
        <v>0</v>
      </c>
      <c r="J96" s="309">
        <f>SUM(E96:I96)</f>
        <v>0</v>
      </c>
      <c r="K96" s="799"/>
      <c r="L96" s="799"/>
      <c r="M96" s="800"/>
      <c r="N96" s="300"/>
      <c r="O96" s="301"/>
      <c r="P96" s="301"/>
      <c r="Q96" s="301"/>
      <c r="R96" s="301"/>
      <c r="S96" s="301"/>
      <c r="T96" s="301"/>
    </row>
    <row r="97" spans="1:20" s="33" customFormat="1" ht="14.25" customHeight="1" outlineLevel="1" x14ac:dyDescent="0.2">
      <c r="A97" s="491" t="str">
        <f>+A90</f>
        <v>Other</v>
      </c>
      <c r="B97" s="311"/>
      <c r="C97" s="8"/>
      <c r="D97" s="711">
        <v>0</v>
      </c>
      <c r="E97" s="320">
        <f>+D97*E90</f>
        <v>0</v>
      </c>
      <c r="F97" s="320">
        <f>+$D$97*F90</f>
        <v>0</v>
      </c>
      <c r="G97" s="320">
        <f>+$D$97*G90</f>
        <v>0</v>
      </c>
      <c r="H97" s="320">
        <f>+$D$97*H90</f>
        <v>0</v>
      </c>
      <c r="I97" s="320">
        <f>+$D$97*I90</f>
        <v>0</v>
      </c>
      <c r="J97" s="309">
        <f>SUM(E97:I97)</f>
        <v>0</v>
      </c>
      <c r="K97" s="799"/>
      <c r="L97" s="799"/>
      <c r="M97" s="800"/>
      <c r="N97" s="300"/>
      <c r="O97" s="301"/>
      <c r="P97" s="301"/>
      <c r="Q97" s="301"/>
      <c r="R97" s="301"/>
      <c r="S97" s="301"/>
      <c r="T97" s="301"/>
    </row>
    <row r="98" spans="1:20" s="33" customFormat="1" ht="14.25" customHeight="1" outlineLevel="1" x14ac:dyDescent="0.2">
      <c r="A98" s="491" t="str">
        <f>+A59</f>
        <v>Sub Tolal Completed to date</v>
      </c>
      <c r="B98" s="311"/>
      <c r="C98" s="366"/>
      <c r="D98" s="718"/>
      <c r="E98" s="327">
        <f t="shared" ref="E98:J98" si="34">SUM(E95:E97)</f>
        <v>0</v>
      </c>
      <c r="F98" s="327">
        <f t="shared" si="34"/>
        <v>0</v>
      </c>
      <c r="G98" s="327">
        <f t="shared" si="34"/>
        <v>0</v>
      </c>
      <c r="H98" s="327">
        <f t="shared" si="34"/>
        <v>0</v>
      </c>
      <c r="I98" s="327">
        <f t="shared" si="34"/>
        <v>0</v>
      </c>
      <c r="J98" s="309">
        <f t="shared" si="34"/>
        <v>0</v>
      </c>
      <c r="K98" s="799"/>
      <c r="L98" s="799"/>
      <c r="M98" s="800"/>
      <c r="N98" s="300"/>
      <c r="O98" s="301"/>
      <c r="P98" s="301"/>
      <c r="Q98" s="301"/>
      <c r="R98" s="301"/>
      <c r="S98" s="301"/>
      <c r="T98" s="301"/>
    </row>
    <row r="99" spans="1:20" s="33" customFormat="1" ht="14.25" customHeight="1" outlineLevel="1" x14ac:dyDescent="0.2">
      <c r="A99" s="491" t="str">
        <f>+A92</f>
        <v>Disbursements</v>
      </c>
      <c r="B99" s="311"/>
      <c r="C99" s="548">
        <f>+E92</f>
        <v>0</v>
      </c>
      <c r="D99" s="711" t="e">
        <f>+E99/C99</f>
        <v>#DIV/0!</v>
      </c>
      <c r="E99" s="299">
        <v>2000</v>
      </c>
      <c r="F99" s="320">
        <f>IFERROR($C$99*(F92/$J$92),0)</f>
        <v>0</v>
      </c>
      <c r="G99" s="320">
        <f>IFERROR($C$99*(G92/$J$92),0)</f>
        <v>0</v>
      </c>
      <c r="H99" s="320">
        <f>IFERROR($C$99*(H92/$J$92),0)</f>
        <v>0</v>
      </c>
      <c r="I99" s="320">
        <f>IFERROR($C$99*(I92/$J$92),0)</f>
        <v>0</v>
      </c>
      <c r="J99" s="309">
        <f>SUM(E99:I99)</f>
        <v>2000</v>
      </c>
      <c r="K99" s="799"/>
      <c r="L99" s="799"/>
      <c r="M99" s="800"/>
      <c r="N99" s="300"/>
      <c r="O99" s="301"/>
      <c r="P99" s="301"/>
      <c r="Q99" s="301"/>
      <c r="R99" s="301"/>
      <c r="S99" s="301"/>
      <c r="T99" s="301"/>
    </row>
    <row r="100" spans="1:20" s="33" customFormat="1" ht="14.25" customHeight="1" outlineLevel="1" x14ac:dyDescent="0.2">
      <c r="A100" s="491" t="str">
        <f>+A61</f>
        <v>Work Completed to Date Total</v>
      </c>
      <c r="B100" s="311"/>
      <c r="C100" s="8"/>
      <c r="D100" s="8"/>
      <c r="E100" s="327">
        <f t="shared" ref="E100:J100" si="35">SUM(E98:E99)</f>
        <v>2000</v>
      </c>
      <c r="F100" s="327">
        <f t="shared" si="35"/>
        <v>0</v>
      </c>
      <c r="G100" s="327">
        <f t="shared" si="35"/>
        <v>0</v>
      </c>
      <c r="H100" s="327">
        <f t="shared" si="35"/>
        <v>0</v>
      </c>
      <c r="I100" s="327">
        <f t="shared" si="35"/>
        <v>0</v>
      </c>
      <c r="J100" s="327">
        <f t="shared" si="35"/>
        <v>2000</v>
      </c>
      <c r="K100" s="799"/>
      <c r="L100" s="799"/>
      <c r="M100" s="800"/>
      <c r="N100" s="300"/>
      <c r="O100" s="301"/>
      <c r="P100" s="301"/>
      <c r="Q100" s="301"/>
      <c r="R100" s="301"/>
      <c r="S100" s="301"/>
      <c r="T100" s="301"/>
    </row>
    <row r="101" spans="1:20" s="33" customFormat="1" ht="14.25" customHeight="1" outlineLevel="1" thickBot="1" x14ac:dyDescent="0.25">
      <c r="A101" s="512" t="s">
        <v>222</v>
      </c>
      <c r="B101" s="513"/>
      <c r="C101" s="514"/>
      <c r="D101" s="514"/>
      <c r="E101" s="530">
        <f>+E100-E239</f>
        <v>2000</v>
      </c>
      <c r="F101" s="530">
        <f>+F100-F239</f>
        <v>0</v>
      </c>
      <c r="G101" s="530">
        <f>+G100-G239</f>
        <v>0</v>
      </c>
      <c r="H101" s="530">
        <f>+H100-H239</f>
        <v>0</v>
      </c>
      <c r="I101" s="530">
        <f>+I100-I239</f>
        <v>0</v>
      </c>
      <c r="J101" s="531">
        <f>SUM(E101:I101)</f>
        <v>2000</v>
      </c>
      <c r="K101" s="801"/>
      <c r="L101" s="801"/>
      <c r="M101" s="802"/>
      <c r="N101" s="300"/>
      <c r="O101" s="301"/>
      <c r="P101" s="301"/>
      <c r="Q101" s="301"/>
      <c r="R101" s="301"/>
      <c r="S101" s="301"/>
      <c r="T101" s="301"/>
    </row>
    <row r="102" spans="1:20" s="33" customFormat="1" ht="31.5" customHeight="1" thickBot="1" x14ac:dyDescent="0.25">
      <c r="A102" s="311"/>
      <c r="B102" s="311"/>
      <c r="C102" s="8"/>
      <c r="D102" s="8"/>
      <c r="E102" s="414" t="s">
        <v>231</v>
      </c>
      <c r="F102" s="299"/>
      <c r="G102" s="414"/>
      <c r="H102" s="299"/>
      <c r="I102" s="299"/>
      <c r="J102" s="307"/>
      <c r="K102" s="317"/>
      <c r="L102" s="300"/>
      <c r="M102" s="300"/>
      <c r="N102" s="300"/>
      <c r="O102" s="301"/>
      <c r="P102" s="301"/>
      <c r="Q102" s="301"/>
      <c r="R102" s="301"/>
      <c r="S102" s="301"/>
      <c r="T102" s="301"/>
    </row>
    <row r="103" spans="1:20" s="33" customFormat="1" ht="15.75" outlineLevel="1" x14ac:dyDescent="0.25">
      <c r="A103" s="480" t="s">
        <v>199</v>
      </c>
      <c r="B103" s="481"/>
      <c r="C103" s="482"/>
      <c r="D103" s="482"/>
      <c r="E103" s="483"/>
      <c r="F103" s="484"/>
      <c r="G103" s="484"/>
      <c r="H103" s="484"/>
      <c r="I103" s="485"/>
      <c r="J103" s="792" t="s">
        <v>51</v>
      </c>
      <c r="K103" s="486" t="s">
        <v>178</v>
      </c>
      <c r="L103" s="487"/>
      <c r="M103" s="488"/>
      <c r="N103" s="300"/>
      <c r="O103" s="301"/>
      <c r="P103" s="301"/>
      <c r="Q103" s="301"/>
      <c r="R103" s="301"/>
      <c r="S103" s="301"/>
      <c r="T103" s="301"/>
    </row>
    <row r="104" spans="1:20" s="33" customFormat="1" ht="18" customHeight="1" outlineLevel="1" x14ac:dyDescent="0.2">
      <c r="A104" s="489"/>
      <c r="B104" s="342"/>
      <c r="C104" s="342"/>
      <c r="D104" s="342"/>
      <c r="E104" s="144" t="str">
        <f>+E65</f>
        <v>Split #1/Fund</v>
      </c>
      <c r="F104" s="144" t="str">
        <f>+F65</f>
        <v>Split #2/Fund</v>
      </c>
      <c r="G104" s="144" t="str">
        <f>+G65</f>
        <v>Split #3/Fund</v>
      </c>
      <c r="H104" s="144" t="str">
        <f>+H65</f>
        <v>Split #4/Fund</v>
      </c>
      <c r="I104" s="144" t="str">
        <f>+I65</f>
        <v>Split #5/Fund</v>
      </c>
      <c r="J104" s="764"/>
      <c r="K104" s="303"/>
      <c r="L104" s="304"/>
      <c r="M104" s="490"/>
      <c r="N104" s="300"/>
      <c r="O104" s="301"/>
      <c r="P104" s="301"/>
      <c r="Q104" s="301"/>
      <c r="R104" s="301"/>
      <c r="S104" s="301"/>
      <c r="T104" s="301"/>
    </row>
    <row r="105" spans="1:20" s="33" customFormat="1" outlineLevel="1" x14ac:dyDescent="0.2">
      <c r="A105" s="491" t="s">
        <v>200</v>
      </c>
      <c r="B105" s="357"/>
      <c r="C105" s="8"/>
      <c r="D105" s="8"/>
      <c r="E105" s="307">
        <v>0</v>
      </c>
      <c r="F105" s="307">
        <v>0</v>
      </c>
      <c r="G105" s="307">
        <v>0</v>
      </c>
      <c r="H105" s="307">
        <v>0</v>
      </c>
      <c r="I105" s="307">
        <v>0</v>
      </c>
      <c r="J105" s="389">
        <f>SUM(E105:I105)</f>
        <v>0</v>
      </c>
      <c r="K105" s="51"/>
      <c r="L105" s="81"/>
      <c r="M105" s="492"/>
      <c r="N105" s="300"/>
      <c r="O105" s="301"/>
      <c r="P105" s="301"/>
      <c r="Q105" s="301"/>
      <c r="R105" s="301"/>
      <c r="S105" s="301"/>
      <c r="T105" s="301"/>
    </row>
    <row r="106" spans="1:20" s="33" customFormat="1" outlineLevel="1" x14ac:dyDescent="0.2">
      <c r="A106" s="491" t="s">
        <v>202</v>
      </c>
      <c r="B106" s="357"/>
      <c r="C106" s="8"/>
      <c r="D106" s="8"/>
      <c r="E106" s="307">
        <v>0</v>
      </c>
      <c r="F106" s="307">
        <v>0</v>
      </c>
      <c r="G106" s="307">
        <v>0</v>
      </c>
      <c r="H106" s="307">
        <v>0</v>
      </c>
      <c r="I106" s="307">
        <v>0</v>
      </c>
      <c r="J106" s="389">
        <f t="shared" ref="J106:J115" si="36">SUM(E106:I106)</f>
        <v>0</v>
      </c>
      <c r="K106" s="415">
        <f>J106-J$105</f>
        <v>0</v>
      </c>
      <c r="L106" s="81" t="s">
        <v>270</v>
      </c>
      <c r="M106" s="492"/>
      <c r="N106" s="300"/>
      <c r="O106" s="301"/>
      <c r="P106" s="301"/>
      <c r="Q106" s="301"/>
      <c r="R106" s="301"/>
      <c r="S106" s="301"/>
      <c r="T106" s="301"/>
    </row>
    <row r="107" spans="1:20" s="33" customFormat="1" outlineLevel="1" x14ac:dyDescent="0.2">
      <c r="A107" s="491" t="s">
        <v>223</v>
      </c>
      <c r="B107" s="357"/>
      <c r="C107" s="8"/>
      <c r="D107" s="8"/>
      <c r="E107" s="307">
        <v>0</v>
      </c>
      <c r="F107" s="307">
        <v>0</v>
      </c>
      <c r="G107" s="307">
        <v>0</v>
      </c>
      <c r="H107" s="307">
        <v>0</v>
      </c>
      <c r="I107" s="307">
        <v>0</v>
      </c>
      <c r="J107" s="389">
        <f t="shared" si="36"/>
        <v>0</v>
      </c>
      <c r="K107" s="415">
        <f>J107-J$105</f>
        <v>0</v>
      </c>
      <c r="L107" s="81" t="s">
        <v>270</v>
      </c>
      <c r="M107" s="493"/>
      <c r="N107" s="300"/>
      <c r="O107" s="301"/>
      <c r="P107" s="301"/>
      <c r="Q107" s="301"/>
      <c r="R107" s="301"/>
      <c r="S107" s="301"/>
      <c r="T107" s="301"/>
    </row>
    <row r="108" spans="1:20" s="33" customFormat="1" outlineLevel="1" x14ac:dyDescent="0.2">
      <c r="A108" s="491" t="s">
        <v>203</v>
      </c>
      <c r="B108" s="357"/>
      <c r="C108" s="8"/>
      <c r="D108" s="8"/>
      <c r="E108" s="307">
        <v>0</v>
      </c>
      <c r="F108" s="307">
        <v>0</v>
      </c>
      <c r="G108" s="307">
        <v>0</v>
      </c>
      <c r="H108" s="307">
        <v>0</v>
      </c>
      <c r="I108" s="307">
        <v>0</v>
      </c>
      <c r="J108" s="389">
        <f t="shared" si="36"/>
        <v>0</v>
      </c>
      <c r="K108" s="415">
        <f>J108-J$105</f>
        <v>0</v>
      </c>
      <c r="L108" s="81" t="s">
        <v>270</v>
      </c>
      <c r="M108" s="493"/>
      <c r="N108" s="300"/>
      <c r="O108" s="301"/>
      <c r="P108" s="301"/>
      <c r="Q108" s="301"/>
      <c r="R108" s="301"/>
      <c r="S108" s="301"/>
      <c r="T108" s="301"/>
    </row>
    <row r="109" spans="1:20" s="33" customFormat="1" outlineLevel="1" x14ac:dyDescent="0.2">
      <c r="A109" s="494" t="s">
        <v>272</v>
      </c>
      <c r="B109" s="364"/>
      <c r="C109" s="358"/>
      <c r="D109" s="616"/>
      <c r="E109" s="359">
        <v>0</v>
      </c>
      <c r="F109" s="359">
        <v>0</v>
      </c>
      <c r="G109" s="359">
        <v>0</v>
      </c>
      <c r="H109" s="359">
        <v>0</v>
      </c>
      <c r="I109" s="359">
        <v>0</v>
      </c>
      <c r="J109" s="390">
        <f t="shared" si="36"/>
        <v>0</v>
      </c>
      <c r="K109" s="416">
        <f>+J109-J105</f>
        <v>0</v>
      </c>
      <c r="L109" s="360" t="s">
        <v>270</v>
      </c>
      <c r="M109" s="495"/>
      <c r="N109" s="300"/>
      <c r="O109" s="301"/>
      <c r="P109" s="301"/>
      <c r="Q109" s="301"/>
      <c r="R109" s="301"/>
      <c r="S109" s="301"/>
      <c r="T109" s="301"/>
    </row>
    <row r="110" spans="1:20" s="33" customFormat="1" outlineLevel="1" x14ac:dyDescent="0.2">
      <c r="A110" s="491"/>
      <c r="B110" s="357"/>
      <c r="C110" s="8"/>
      <c r="D110" s="8"/>
      <c r="E110" s="307"/>
      <c r="F110" s="307"/>
      <c r="G110" s="307"/>
      <c r="H110" s="307"/>
      <c r="I110" s="307"/>
      <c r="J110" s="389"/>
      <c r="K110" s="51"/>
      <c r="L110" s="81"/>
      <c r="M110" s="496"/>
      <c r="N110" s="300"/>
      <c r="O110" s="301"/>
      <c r="P110" s="301"/>
      <c r="Q110" s="301"/>
      <c r="R110" s="301"/>
      <c r="S110" s="301"/>
      <c r="T110" s="301"/>
    </row>
    <row r="111" spans="1:20" s="33" customFormat="1" outlineLevel="1" x14ac:dyDescent="0.2">
      <c r="A111" s="491" t="s">
        <v>205</v>
      </c>
      <c r="B111" s="357"/>
      <c r="C111" s="8"/>
      <c r="D111" s="8"/>
      <c r="E111" s="307">
        <v>0</v>
      </c>
      <c r="F111" s="307">
        <v>0</v>
      </c>
      <c r="G111" s="307">
        <v>0</v>
      </c>
      <c r="H111" s="307">
        <v>0</v>
      </c>
      <c r="I111" s="307">
        <v>0</v>
      </c>
      <c r="J111" s="389">
        <f t="shared" si="36"/>
        <v>0</v>
      </c>
      <c r="K111" s="415"/>
      <c r="L111" s="81"/>
      <c r="M111" s="496"/>
      <c r="N111" s="300"/>
      <c r="O111" s="301"/>
      <c r="P111" s="301"/>
      <c r="Q111" s="301"/>
      <c r="R111" s="301"/>
      <c r="S111" s="301"/>
      <c r="T111" s="301"/>
    </row>
    <row r="112" spans="1:20" s="33" customFormat="1" outlineLevel="1" x14ac:dyDescent="0.2">
      <c r="A112" s="491" t="s">
        <v>207</v>
      </c>
      <c r="B112" s="357"/>
      <c r="C112" s="8"/>
      <c r="D112" s="8"/>
      <c r="E112" s="307">
        <v>0</v>
      </c>
      <c r="F112" s="307">
        <v>0</v>
      </c>
      <c r="G112" s="307">
        <v>0</v>
      </c>
      <c r="H112" s="307">
        <v>0</v>
      </c>
      <c r="I112" s="307">
        <v>0</v>
      </c>
      <c r="J112" s="389">
        <f t="shared" si="36"/>
        <v>0</v>
      </c>
      <c r="K112" s="415">
        <f>J112-J111</f>
        <v>0</v>
      </c>
      <c r="L112" s="81" t="s">
        <v>230</v>
      </c>
      <c r="M112" s="496"/>
      <c r="N112" s="300"/>
      <c r="O112" s="301"/>
      <c r="P112" s="301"/>
      <c r="Q112" s="301"/>
      <c r="R112" s="301"/>
      <c r="S112" s="301"/>
      <c r="T112" s="301"/>
    </row>
    <row r="113" spans="1:20" s="33" customFormat="1" outlineLevel="1" x14ac:dyDescent="0.2">
      <c r="A113" s="491" t="s">
        <v>208</v>
      </c>
      <c r="B113" s="357"/>
      <c r="C113" s="8"/>
      <c r="D113" s="8"/>
      <c r="E113" s="307">
        <v>0</v>
      </c>
      <c r="F113" s="307">
        <v>0</v>
      </c>
      <c r="G113" s="307">
        <v>0</v>
      </c>
      <c r="H113" s="307">
        <v>0</v>
      </c>
      <c r="I113" s="307">
        <v>0</v>
      </c>
      <c r="J113" s="389">
        <f t="shared" si="36"/>
        <v>0</v>
      </c>
      <c r="K113" s="415">
        <f>J113-J111</f>
        <v>0</v>
      </c>
      <c r="L113" s="81" t="s">
        <v>230</v>
      </c>
      <c r="M113" s="496"/>
      <c r="N113" s="300"/>
      <c r="O113" s="301"/>
      <c r="P113" s="301"/>
      <c r="Q113" s="301"/>
      <c r="R113" s="301"/>
      <c r="S113" s="301"/>
      <c r="T113" s="301"/>
    </row>
    <row r="114" spans="1:20" s="33" customFormat="1" outlineLevel="1" x14ac:dyDescent="0.2">
      <c r="A114" s="491" t="s">
        <v>209</v>
      </c>
      <c r="B114" s="357"/>
      <c r="C114" s="8"/>
      <c r="D114" s="8"/>
      <c r="E114" s="307">
        <v>0</v>
      </c>
      <c r="F114" s="307">
        <v>0</v>
      </c>
      <c r="G114" s="307">
        <v>0</v>
      </c>
      <c r="H114" s="307">
        <v>0</v>
      </c>
      <c r="I114" s="307">
        <v>0</v>
      </c>
      <c r="J114" s="389">
        <f t="shared" si="36"/>
        <v>0</v>
      </c>
      <c r="K114" s="415">
        <f>J114-J111</f>
        <v>0</v>
      </c>
      <c r="L114" s="81" t="s">
        <v>230</v>
      </c>
      <c r="M114" s="496"/>
      <c r="N114" s="300"/>
      <c r="O114" s="301"/>
      <c r="P114" s="301"/>
      <c r="Q114" s="301"/>
      <c r="R114" s="301"/>
      <c r="S114" s="301"/>
      <c r="T114" s="301"/>
    </row>
    <row r="115" spans="1:20" s="33" customFormat="1" outlineLevel="1" x14ac:dyDescent="0.2">
      <c r="A115" s="497" t="str">
        <f>+A109</f>
        <v>As per Architect's Invoice or as per</v>
      </c>
      <c r="B115" s="417"/>
      <c r="C115" s="395"/>
      <c r="D115" s="616"/>
      <c r="E115" s="396">
        <v>0</v>
      </c>
      <c r="F115" s="396">
        <v>0</v>
      </c>
      <c r="G115" s="396">
        <v>0</v>
      </c>
      <c r="H115" s="396">
        <v>0</v>
      </c>
      <c r="I115" s="396">
        <v>0</v>
      </c>
      <c r="J115" s="397">
        <f t="shared" si="36"/>
        <v>0</v>
      </c>
      <c r="K115" s="418">
        <f>J115-J111</f>
        <v>0</v>
      </c>
      <c r="L115" s="399" t="s">
        <v>230</v>
      </c>
      <c r="M115" s="498"/>
      <c r="N115" s="300"/>
      <c r="O115" s="301"/>
      <c r="P115" s="301"/>
      <c r="Q115" s="301"/>
      <c r="R115" s="301"/>
      <c r="S115" s="301"/>
      <c r="T115" s="301"/>
    </row>
    <row r="116" spans="1:20" s="33" customFormat="1" ht="15" outlineLevel="1" x14ac:dyDescent="0.25">
      <c r="A116" s="499" t="s">
        <v>252</v>
      </c>
      <c r="B116" s="423"/>
      <c r="C116" s="410"/>
      <c r="D116" s="401"/>
      <c r="E116" s="402"/>
      <c r="F116" s="402"/>
      <c r="G116" s="402"/>
      <c r="H116" s="402"/>
      <c r="I116" s="402"/>
      <c r="J116" s="424"/>
      <c r="K116" s="401"/>
      <c r="L116" s="401"/>
      <c r="M116" s="500"/>
      <c r="N116" s="300"/>
      <c r="O116" s="301"/>
      <c r="P116" s="301"/>
      <c r="Q116" s="301"/>
      <c r="R116" s="301"/>
      <c r="S116" s="301"/>
      <c r="T116" s="301"/>
    </row>
    <row r="117" spans="1:20" s="33" customFormat="1" ht="15" customHeight="1" outlineLevel="1" x14ac:dyDescent="0.25">
      <c r="A117" s="501"/>
      <c r="B117" s="357"/>
      <c r="C117" s="478" t="s">
        <v>251</v>
      </c>
      <c r="D117" s="715">
        <v>0.1</v>
      </c>
      <c r="E117" s="335">
        <f>+$D$117*E105</f>
        <v>0</v>
      </c>
      <c r="F117" s="335">
        <f>+$D$117*F105</f>
        <v>0</v>
      </c>
      <c r="G117" s="335">
        <f>+$D$117*G105</f>
        <v>0</v>
      </c>
      <c r="H117" s="335">
        <f>+$D$117*H105</f>
        <v>0</v>
      </c>
      <c r="I117" s="335">
        <f>+$D$117*I105</f>
        <v>0</v>
      </c>
      <c r="J117" s="422">
        <f>SUM(E117:I117)</f>
        <v>0</v>
      </c>
      <c r="K117" s="722" t="s">
        <v>324</v>
      </c>
      <c r="L117" s="724"/>
      <c r="M117" s="723" t="s">
        <v>325</v>
      </c>
      <c r="N117" s="300"/>
      <c r="O117" s="301"/>
      <c r="P117" s="301"/>
      <c r="Q117" s="301"/>
      <c r="R117" s="301"/>
      <c r="S117" s="301"/>
      <c r="T117" s="301"/>
    </row>
    <row r="118" spans="1:20" s="33" customFormat="1" ht="15" customHeight="1" outlineLevel="1" x14ac:dyDescent="0.25">
      <c r="A118" s="501"/>
      <c r="B118" s="357"/>
      <c r="C118" s="393"/>
      <c r="D118" s="463" t="s">
        <v>195</v>
      </c>
      <c r="E118" s="321"/>
      <c r="F118" s="321"/>
      <c r="G118" s="321"/>
      <c r="H118" s="321"/>
      <c r="I118" s="321"/>
      <c r="J118" s="349"/>
      <c r="K118" s="783" t="s">
        <v>201</v>
      </c>
      <c r="L118" s="784"/>
      <c r="M118" s="496"/>
      <c r="N118" s="300"/>
      <c r="O118" s="301"/>
      <c r="P118" s="301"/>
      <c r="Q118" s="301"/>
      <c r="R118" s="301"/>
      <c r="S118" s="301"/>
      <c r="T118" s="301"/>
    </row>
    <row r="119" spans="1:20" s="33" customFormat="1" outlineLevel="1" x14ac:dyDescent="0.2">
      <c r="A119" s="491" t="s">
        <v>210</v>
      </c>
      <c r="B119" s="357"/>
      <c r="C119" s="8"/>
      <c r="D119" s="469">
        <v>0.11</v>
      </c>
      <c r="E119" s="321">
        <f>+$D$119*E117</f>
        <v>0</v>
      </c>
      <c r="F119" s="321">
        <f>+D119*$F$117</f>
        <v>0</v>
      </c>
      <c r="G119" s="321">
        <f>+D119*$G$117</f>
        <v>0</v>
      </c>
      <c r="H119" s="321">
        <f>+D119*$H$117</f>
        <v>0</v>
      </c>
      <c r="I119" s="321">
        <f>+D119*$I$117</f>
        <v>0</v>
      </c>
      <c r="J119" s="349">
        <f t="shared" ref="J119:J124" si="37">SUM(E119:I119)</f>
        <v>0</v>
      </c>
      <c r="K119" s="464"/>
      <c r="L119" s="465"/>
      <c r="M119" s="496"/>
      <c r="N119" s="300"/>
      <c r="O119" s="301"/>
      <c r="P119" s="301"/>
      <c r="Q119" s="301"/>
      <c r="R119" s="301"/>
      <c r="S119" s="301"/>
      <c r="T119" s="301"/>
    </row>
    <row r="120" spans="1:20" s="33" customFormat="1" outlineLevel="1" x14ac:dyDescent="0.2">
      <c r="A120" s="491" t="s">
        <v>211</v>
      </c>
      <c r="B120" s="357"/>
      <c r="C120" s="8"/>
      <c r="D120" s="469">
        <v>0.11</v>
      </c>
      <c r="E120" s="321">
        <f>+$D$120*E117</f>
        <v>0</v>
      </c>
      <c r="F120" s="321">
        <f>+D120*$F$117</f>
        <v>0</v>
      </c>
      <c r="G120" s="321">
        <f>+D120*$G$117</f>
        <v>0</v>
      </c>
      <c r="H120" s="321">
        <f>+D120*$H$117</f>
        <v>0</v>
      </c>
      <c r="I120" s="321">
        <f>+D120*$I$117</f>
        <v>0</v>
      </c>
      <c r="J120" s="349">
        <f t="shared" si="37"/>
        <v>0</v>
      </c>
      <c r="K120" s="466" t="s">
        <v>82</v>
      </c>
      <c r="L120" s="593"/>
      <c r="M120" s="496"/>
      <c r="N120" s="300"/>
      <c r="O120" s="301"/>
      <c r="P120" s="301"/>
      <c r="Q120" s="301"/>
      <c r="R120" s="301"/>
      <c r="S120" s="301"/>
      <c r="T120" s="301"/>
    </row>
    <row r="121" spans="1:20" s="33" customFormat="1" outlineLevel="1" x14ac:dyDescent="0.2">
      <c r="A121" s="491" t="s">
        <v>212</v>
      </c>
      <c r="B121" s="357"/>
      <c r="C121" s="8"/>
      <c r="D121" s="469">
        <v>0.5</v>
      </c>
      <c r="E121" s="321">
        <f>+$D$121*E117</f>
        <v>0</v>
      </c>
      <c r="F121" s="321">
        <f>+D121*$F$117</f>
        <v>0</v>
      </c>
      <c r="G121" s="321">
        <f>+D121*$G$117</f>
        <v>0</v>
      </c>
      <c r="H121" s="321">
        <f>+D121*$H$117</f>
        <v>0</v>
      </c>
      <c r="I121" s="321">
        <f>+D121*$I$117</f>
        <v>0</v>
      </c>
      <c r="J121" s="349">
        <f t="shared" si="37"/>
        <v>0</v>
      </c>
      <c r="K121" s="467" t="s">
        <v>204</v>
      </c>
      <c r="L121" s="468"/>
      <c r="M121" s="496"/>
      <c r="N121" s="300"/>
      <c r="O121" s="301"/>
      <c r="P121" s="301"/>
      <c r="Q121" s="301"/>
      <c r="R121" s="301"/>
      <c r="S121" s="301"/>
      <c r="T121" s="301"/>
    </row>
    <row r="122" spans="1:20" s="33" customFormat="1" outlineLevel="1" x14ac:dyDescent="0.2">
      <c r="A122" s="491" t="s">
        <v>213</v>
      </c>
      <c r="B122" s="357"/>
      <c r="C122" s="8"/>
      <c r="D122" s="469">
        <v>0.03</v>
      </c>
      <c r="E122" s="321">
        <f>+$D$122*E117</f>
        <v>0</v>
      </c>
      <c r="F122" s="321">
        <f>+D122*$F$117</f>
        <v>0</v>
      </c>
      <c r="G122" s="321">
        <f>+D122*$G$117</f>
        <v>0</v>
      </c>
      <c r="H122" s="321">
        <f>+D122*$H$117</f>
        <v>0</v>
      </c>
      <c r="I122" s="321">
        <f>+D122*$I$117</f>
        <v>0</v>
      </c>
      <c r="J122" s="349">
        <f t="shared" si="37"/>
        <v>0</v>
      </c>
      <c r="K122" s="467" t="s">
        <v>268</v>
      </c>
      <c r="L122" s="605"/>
      <c r="M122" s="496"/>
      <c r="N122" s="300"/>
      <c r="O122" s="301"/>
      <c r="P122" s="301"/>
      <c r="Q122" s="301"/>
      <c r="R122" s="301"/>
      <c r="S122" s="301"/>
      <c r="T122" s="301"/>
    </row>
    <row r="123" spans="1:20" s="33" customFormat="1" outlineLevel="1" x14ac:dyDescent="0.2">
      <c r="A123" s="491" t="s">
        <v>226</v>
      </c>
      <c r="B123" s="357"/>
      <c r="C123" s="365"/>
      <c r="D123" s="469">
        <v>0.25</v>
      </c>
      <c r="E123" s="321">
        <f>+$D$123*E117</f>
        <v>0</v>
      </c>
      <c r="F123" s="321">
        <f>+D123*$F$117</f>
        <v>0</v>
      </c>
      <c r="G123" s="321">
        <f>+D123*$G$117</f>
        <v>0</v>
      </c>
      <c r="H123" s="321">
        <f>+D123*$H$117</f>
        <v>0</v>
      </c>
      <c r="I123" s="321">
        <f>+D123*$I$117</f>
        <v>0</v>
      </c>
      <c r="J123" s="349">
        <f t="shared" si="37"/>
        <v>0</v>
      </c>
      <c r="K123" s="332"/>
      <c r="L123" s="333"/>
      <c r="M123" s="496"/>
      <c r="N123" s="300"/>
      <c r="O123" s="301"/>
      <c r="P123" s="301"/>
      <c r="Q123" s="301"/>
      <c r="R123" s="301"/>
      <c r="S123" s="301"/>
      <c r="T123" s="301"/>
    </row>
    <row r="124" spans="1:20" s="33" customFormat="1" outlineLevel="1" x14ac:dyDescent="0.2">
      <c r="A124" s="491" t="s">
        <v>227</v>
      </c>
      <c r="B124" s="357"/>
      <c r="C124" s="365"/>
      <c r="D124" s="469">
        <v>0</v>
      </c>
      <c r="E124" s="475">
        <f>+D124*E117</f>
        <v>0</v>
      </c>
      <c r="F124" s="472">
        <f>+E124*F117</f>
        <v>0</v>
      </c>
      <c r="G124" s="472">
        <f>+F124*G117</f>
        <v>0</v>
      </c>
      <c r="H124" s="472">
        <f>+G124*H117</f>
        <v>0</v>
      </c>
      <c r="I124" s="472">
        <f>+H124*I117</f>
        <v>0</v>
      </c>
      <c r="J124" s="477">
        <f t="shared" si="37"/>
        <v>0</v>
      </c>
      <c r="K124" s="783" t="s">
        <v>206</v>
      </c>
      <c r="L124" s="798"/>
      <c r="M124" s="496"/>
      <c r="N124" s="300"/>
      <c r="O124" s="301"/>
      <c r="P124" s="301"/>
      <c r="Q124" s="301"/>
      <c r="R124" s="301"/>
      <c r="S124" s="301"/>
      <c r="T124" s="301"/>
    </row>
    <row r="125" spans="1:20" s="33" customFormat="1" outlineLevel="1" x14ac:dyDescent="0.2">
      <c r="A125" s="502" t="s">
        <v>219</v>
      </c>
      <c r="B125" s="357"/>
      <c r="C125" s="365"/>
      <c r="D125" s="469">
        <f t="shared" ref="D125:I125" si="38">SUM(D119:D124)</f>
        <v>1</v>
      </c>
      <c r="E125" s="308">
        <f t="shared" si="38"/>
        <v>0</v>
      </c>
      <c r="F125" s="308">
        <f t="shared" si="38"/>
        <v>0</v>
      </c>
      <c r="G125" s="308">
        <f t="shared" si="38"/>
        <v>0</v>
      </c>
      <c r="H125" s="308">
        <f t="shared" si="38"/>
        <v>0</v>
      </c>
      <c r="I125" s="308">
        <f t="shared" si="38"/>
        <v>0</v>
      </c>
      <c r="J125" s="350">
        <f>SUM(J119:J123)</f>
        <v>0</v>
      </c>
      <c r="K125" s="464"/>
      <c r="L125" s="465"/>
      <c r="M125" s="496"/>
      <c r="N125" s="300"/>
      <c r="O125" s="301"/>
      <c r="P125" s="301"/>
      <c r="Q125" s="301"/>
      <c r="R125" s="301"/>
      <c r="S125" s="301"/>
      <c r="T125" s="301"/>
    </row>
    <row r="126" spans="1:20" s="33" customFormat="1" outlineLevel="1" x14ac:dyDescent="0.2">
      <c r="A126" s="503" t="s">
        <v>198</v>
      </c>
      <c r="B126" s="323"/>
      <c r="C126" s="8"/>
      <c r="D126" s="421"/>
      <c r="E126" s="307">
        <v>0</v>
      </c>
      <c r="F126" s="307">
        <v>0</v>
      </c>
      <c r="G126" s="307">
        <v>0</v>
      </c>
      <c r="H126" s="307">
        <v>0</v>
      </c>
      <c r="I126" s="307">
        <v>0</v>
      </c>
      <c r="J126" s="349">
        <f>SUM(E126:I126)</f>
        <v>0</v>
      </c>
      <c r="K126" s="466" t="s">
        <v>82</v>
      </c>
      <c r="L126" s="593"/>
      <c r="M126" s="496"/>
      <c r="N126" s="300"/>
      <c r="O126" s="301"/>
      <c r="P126" s="301"/>
      <c r="Q126" s="301"/>
      <c r="R126" s="301"/>
      <c r="S126" s="301"/>
      <c r="T126" s="301"/>
    </row>
    <row r="127" spans="1:20" s="33" customFormat="1" outlineLevel="1" x14ac:dyDescent="0.2">
      <c r="A127" s="503" t="s">
        <v>198</v>
      </c>
      <c r="B127" s="323"/>
      <c r="C127" s="356"/>
      <c r="D127" s="367"/>
      <c r="E127" s="307">
        <v>0</v>
      </c>
      <c r="F127" s="307">
        <v>0</v>
      </c>
      <c r="G127" s="307">
        <v>0</v>
      </c>
      <c r="H127" s="307">
        <v>0</v>
      </c>
      <c r="I127" s="307">
        <v>0</v>
      </c>
      <c r="J127" s="349">
        <f>SUM(E127:I127)</f>
        <v>0</v>
      </c>
      <c r="K127" s="467" t="s">
        <v>204</v>
      </c>
      <c r="L127" s="468"/>
      <c r="M127" s="496"/>
      <c r="N127" s="300"/>
      <c r="O127" s="301"/>
      <c r="P127" s="301"/>
      <c r="Q127" s="301"/>
      <c r="R127" s="301"/>
      <c r="S127" s="301"/>
      <c r="T127" s="301"/>
    </row>
    <row r="128" spans="1:20" s="33" customFormat="1" outlineLevel="1" x14ac:dyDescent="0.2">
      <c r="A128" s="503" t="s">
        <v>198</v>
      </c>
      <c r="B128" s="323"/>
      <c r="C128" s="356"/>
      <c r="D128" s="367"/>
      <c r="E128" s="476">
        <v>0</v>
      </c>
      <c r="F128" s="476">
        <v>0</v>
      </c>
      <c r="G128" s="476">
        <v>0</v>
      </c>
      <c r="H128" s="476">
        <v>0</v>
      </c>
      <c r="I128" s="476">
        <v>0</v>
      </c>
      <c r="J128" s="477">
        <f>SUM(E128:I128)</f>
        <v>0</v>
      </c>
      <c r="K128" s="467" t="s">
        <v>268</v>
      </c>
      <c r="L128" s="605"/>
      <c r="M128" s="496"/>
      <c r="N128" s="300"/>
      <c r="O128" s="301"/>
      <c r="P128" s="301"/>
      <c r="Q128" s="301"/>
      <c r="R128" s="301"/>
      <c r="S128" s="301"/>
      <c r="T128" s="301"/>
    </row>
    <row r="129" spans="1:20" s="33" customFormat="1" outlineLevel="1" x14ac:dyDescent="0.2">
      <c r="A129" s="491" t="str">
        <f>A116&amp;" Total"</f>
        <v>Original Architect Fees on Construction Total</v>
      </c>
      <c r="B129" s="357"/>
      <c r="C129" s="8"/>
      <c r="D129" s="367"/>
      <c r="E129" s="348">
        <f t="shared" ref="E129:J129" si="39">SUM(E125:E128)</f>
        <v>0</v>
      </c>
      <c r="F129" s="348">
        <f t="shared" si="39"/>
        <v>0</v>
      </c>
      <c r="G129" s="348">
        <f t="shared" si="39"/>
        <v>0</v>
      </c>
      <c r="H129" s="348">
        <f t="shared" si="39"/>
        <v>0</v>
      </c>
      <c r="I129" s="348">
        <f t="shared" si="39"/>
        <v>0</v>
      </c>
      <c r="J129" s="350">
        <f t="shared" si="39"/>
        <v>0</v>
      </c>
      <c r="K129" s="331"/>
      <c r="L129" s="337"/>
      <c r="M129" s="496"/>
      <c r="N129" s="300"/>
      <c r="O129" s="301"/>
      <c r="P129" s="301"/>
      <c r="Q129" s="301"/>
      <c r="R129" s="301"/>
      <c r="S129" s="301"/>
      <c r="T129" s="301"/>
    </row>
    <row r="130" spans="1:20" s="33" customFormat="1" outlineLevel="1" x14ac:dyDescent="0.2">
      <c r="A130" s="491"/>
      <c r="B130" s="357"/>
      <c r="C130" s="8"/>
      <c r="D130" s="354"/>
      <c r="E130" s="321"/>
      <c r="F130" s="321"/>
      <c r="G130" s="321"/>
      <c r="H130" s="321"/>
      <c r="I130" s="321"/>
      <c r="J130" s="309"/>
      <c r="K130" s="331"/>
      <c r="L130" s="337"/>
      <c r="M130" s="496"/>
      <c r="N130" s="300"/>
      <c r="O130" s="301"/>
      <c r="P130" s="301"/>
      <c r="Q130" s="301"/>
      <c r="R130" s="301"/>
      <c r="S130" s="301"/>
      <c r="T130" s="301"/>
    </row>
    <row r="131" spans="1:20" s="33" customFormat="1" ht="15" outlineLevel="1" x14ac:dyDescent="0.25">
      <c r="A131" s="501" t="s">
        <v>214</v>
      </c>
      <c r="B131" s="357"/>
      <c r="C131" s="8"/>
      <c r="D131" s="379"/>
      <c r="E131" s="51"/>
      <c r="F131" s="51"/>
      <c r="G131" s="51"/>
      <c r="H131" s="51"/>
      <c r="I131" s="51"/>
      <c r="J131" s="425"/>
      <c r="K131" s="331"/>
      <c r="L131" s="322"/>
      <c r="M131" s="496"/>
      <c r="N131" s="300"/>
      <c r="O131" s="301"/>
      <c r="P131" s="301"/>
      <c r="Q131" s="301"/>
      <c r="R131" s="301"/>
      <c r="S131" s="301"/>
      <c r="T131" s="301"/>
    </row>
    <row r="132" spans="1:20" s="33" customFormat="1" ht="15" outlineLevel="1" x14ac:dyDescent="0.25">
      <c r="A132" s="501"/>
      <c r="B132" s="357"/>
      <c r="C132" s="478" t="s">
        <v>251</v>
      </c>
      <c r="D132" s="717">
        <v>0.1</v>
      </c>
      <c r="E132" s="335">
        <f>$D$132*E111</f>
        <v>0</v>
      </c>
      <c r="F132" s="335">
        <f>$D$132*F111</f>
        <v>0</v>
      </c>
      <c r="G132" s="335">
        <f>$D$132*G111</f>
        <v>0</v>
      </c>
      <c r="H132" s="335">
        <f>$D$132*H111</f>
        <v>0</v>
      </c>
      <c r="I132" s="335">
        <f>$D$132*I111</f>
        <v>0</v>
      </c>
      <c r="J132" s="336">
        <f>SUM(E132:I132)</f>
        <v>0</v>
      </c>
      <c r="K132" s="331"/>
      <c r="L132" s="322"/>
      <c r="M132" s="496"/>
      <c r="N132" s="300"/>
      <c r="O132" s="301"/>
      <c r="P132" s="301"/>
      <c r="Q132" s="301"/>
      <c r="R132" s="301"/>
      <c r="S132" s="301"/>
      <c r="T132" s="301"/>
    </row>
    <row r="133" spans="1:20" s="33" customFormat="1" outlineLevel="1" x14ac:dyDescent="0.2">
      <c r="A133" s="491" t="s">
        <v>221</v>
      </c>
      <c r="B133" s="357"/>
      <c r="C133" s="8"/>
      <c r="D133" s="368">
        <v>1</v>
      </c>
      <c r="E133" s="321">
        <f>+$D$133*E132</f>
        <v>0</v>
      </c>
      <c r="F133" s="321">
        <f>+$D$133*F132</f>
        <v>0</v>
      </c>
      <c r="G133" s="321">
        <f>+$D$133*G132</f>
        <v>0</v>
      </c>
      <c r="H133" s="321">
        <f>+$D$133*H132</f>
        <v>0</v>
      </c>
      <c r="I133" s="321">
        <f>+$D$133*I132</f>
        <v>0</v>
      </c>
      <c r="J133" s="330">
        <f>SUM(E133:I133)</f>
        <v>0</v>
      </c>
      <c r="K133" s="331"/>
      <c r="L133" s="322"/>
      <c r="M133" s="496"/>
      <c r="N133" s="300"/>
      <c r="O133" s="301"/>
      <c r="P133" s="301"/>
      <c r="Q133" s="301"/>
      <c r="R133" s="301"/>
      <c r="S133" s="301"/>
      <c r="T133" s="301"/>
    </row>
    <row r="134" spans="1:20" s="33" customFormat="1" outlineLevel="1" x14ac:dyDescent="0.2">
      <c r="A134" s="503" t="s">
        <v>198</v>
      </c>
      <c r="B134" s="323"/>
      <c r="C134" s="8"/>
      <c r="D134" s="379"/>
      <c r="E134" s="307">
        <v>0</v>
      </c>
      <c r="F134" s="307">
        <v>0</v>
      </c>
      <c r="G134" s="307">
        <v>0</v>
      </c>
      <c r="H134" s="307">
        <v>0</v>
      </c>
      <c r="I134" s="307">
        <v>0</v>
      </c>
      <c r="J134" s="330">
        <f>SUM(E134:I134)</f>
        <v>0</v>
      </c>
      <c r="K134" s="331"/>
      <c r="L134" s="322"/>
      <c r="M134" s="496"/>
      <c r="N134" s="300"/>
      <c r="O134" s="301"/>
      <c r="P134" s="301"/>
      <c r="Q134" s="301"/>
      <c r="R134" s="301"/>
      <c r="S134" s="301"/>
      <c r="T134" s="301"/>
    </row>
    <row r="135" spans="1:20" s="33" customFormat="1" outlineLevel="1" x14ac:dyDescent="0.2">
      <c r="A135" s="491" t="s">
        <v>185</v>
      </c>
      <c r="B135" s="357"/>
      <c r="C135" s="8"/>
      <c r="D135" s="8"/>
      <c r="E135" s="307">
        <v>0</v>
      </c>
      <c r="F135" s="307">
        <v>0</v>
      </c>
      <c r="G135" s="307">
        <v>0</v>
      </c>
      <c r="H135" s="307">
        <v>0</v>
      </c>
      <c r="I135" s="307">
        <v>0</v>
      </c>
      <c r="J135" s="330">
        <f>SUM(E135:I135)</f>
        <v>0</v>
      </c>
      <c r="K135" s="331"/>
      <c r="L135" s="322"/>
      <c r="M135" s="496"/>
      <c r="N135" s="300"/>
      <c r="O135" s="301"/>
      <c r="P135" s="301"/>
      <c r="Q135" s="301"/>
      <c r="R135" s="301"/>
      <c r="S135" s="301"/>
      <c r="T135" s="301"/>
    </row>
    <row r="136" spans="1:20" s="33" customFormat="1" outlineLevel="1" x14ac:dyDescent="0.2">
      <c r="A136" s="502" t="s">
        <v>215</v>
      </c>
      <c r="B136" s="426"/>
      <c r="C136" s="373"/>
      <c r="D136" s="373"/>
      <c r="E136" s="412">
        <f>SUM(E133:E135)+E129</f>
        <v>0</v>
      </c>
      <c r="F136" s="412">
        <f t="shared" ref="F136:J136" si="40">SUM(F133:F135)</f>
        <v>0</v>
      </c>
      <c r="G136" s="412">
        <f t="shared" si="40"/>
        <v>0</v>
      </c>
      <c r="H136" s="412">
        <f t="shared" si="40"/>
        <v>0</v>
      </c>
      <c r="I136" s="412">
        <f t="shared" si="40"/>
        <v>0</v>
      </c>
      <c r="J136" s="412">
        <f t="shared" si="40"/>
        <v>0</v>
      </c>
      <c r="K136" s="427"/>
      <c r="L136" s="408"/>
      <c r="M136" s="504"/>
      <c r="N136" s="300"/>
      <c r="O136" s="301"/>
      <c r="P136" s="301"/>
      <c r="Q136" s="301"/>
      <c r="R136" s="301"/>
      <c r="S136" s="301"/>
      <c r="T136" s="301"/>
    </row>
    <row r="137" spans="1:20" s="33" customFormat="1" ht="13.5" customHeight="1" outlineLevel="1" x14ac:dyDescent="0.25">
      <c r="A137" s="501" t="s">
        <v>233</v>
      </c>
      <c r="B137" s="357"/>
      <c r="C137" s="339"/>
      <c r="D137" s="339"/>
      <c r="E137" s="432"/>
      <c r="F137" s="432"/>
      <c r="G137" s="432"/>
      <c r="H137" s="432"/>
      <c r="I137" s="432"/>
      <c r="J137" s="330"/>
      <c r="K137" s="355"/>
      <c r="L137" s="322"/>
      <c r="M137" s="496"/>
      <c r="N137" s="300"/>
      <c r="O137" s="301"/>
      <c r="P137" s="301"/>
      <c r="Q137" s="301"/>
      <c r="R137" s="301"/>
      <c r="S137" s="301"/>
      <c r="T137" s="301"/>
    </row>
    <row r="138" spans="1:20" s="33" customFormat="1" ht="13.5" customHeight="1" outlineLevel="1" x14ac:dyDescent="0.25">
      <c r="A138" s="501"/>
      <c r="B138" s="357"/>
      <c r="C138" s="393" t="s">
        <v>224</v>
      </c>
      <c r="D138" s="715">
        <v>0.1</v>
      </c>
      <c r="E138" s="335">
        <f>IF(E108&gt;0,(E108-E105)*$D138,IF(E107&gt;0,(E107-E105)*$D138,IF(E106&gt;0,(E106-E105)*$D138,0)))</f>
        <v>0</v>
      </c>
      <c r="F138" s="335">
        <f>IF(F108&gt;0,(F108-F105)*$D138,IF(F107&gt;0,(F107-F105)*$D138,IF(F106&gt;0,(F106-F105)*$D138,0)))</f>
        <v>0</v>
      </c>
      <c r="G138" s="335">
        <f>IF(G108&gt;0,(G108-G105)*$D138,IF(G107&gt;0,(G107-G105)*$D138,IF(G106&gt;0,(G106-G105)*$D138,0)))</f>
        <v>0</v>
      </c>
      <c r="H138" s="335">
        <f>IF(H108&gt;0,(H108-H105)*$D138,IF(H107&gt;0,(H107-H105)*$D138,IF(H106&gt;0,(H106-H105)*$D138,0)))</f>
        <v>0</v>
      </c>
      <c r="I138" s="335">
        <f>IF(I108&gt;0,(I108-I105)*$D138,IF(I107&gt;0,(I107-I105)*$D138,IF(I106&gt;0,(I106-I105)*$D138,0)))</f>
        <v>0</v>
      </c>
      <c r="J138" s="422">
        <f>SUM(E138:I138)</f>
        <v>0</v>
      </c>
      <c r="K138" s="355"/>
      <c r="L138" s="322"/>
      <c r="M138" s="496"/>
      <c r="N138" s="300"/>
      <c r="O138" s="301"/>
      <c r="P138" s="301"/>
      <c r="Q138" s="301"/>
      <c r="R138" s="301"/>
      <c r="S138" s="301"/>
      <c r="T138" s="301"/>
    </row>
    <row r="139" spans="1:20" s="33" customFormat="1" ht="13.5" customHeight="1" outlineLevel="1" x14ac:dyDescent="0.25">
      <c r="A139" s="501"/>
      <c r="B139" s="357"/>
      <c r="C139" s="339"/>
      <c r="D139" s="463" t="str">
        <f>+D118</f>
        <v>Fee Rate</v>
      </c>
      <c r="E139" s="432"/>
      <c r="F139" s="432"/>
      <c r="G139" s="432"/>
      <c r="H139" s="432"/>
      <c r="I139" s="432"/>
      <c r="J139" s="389"/>
      <c r="K139" s="355"/>
      <c r="L139" s="322"/>
      <c r="M139" s="496"/>
      <c r="N139" s="300"/>
      <c r="O139" s="301"/>
      <c r="P139" s="301"/>
      <c r="Q139" s="301"/>
      <c r="R139" s="301"/>
      <c r="S139" s="301"/>
      <c r="T139" s="301"/>
    </row>
    <row r="140" spans="1:20" s="33" customFormat="1" ht="13.5" customHeight="1" outlineLevel="1" x14ac:dyDescent="0.2">
      <c r="A140" s="491" t="str">
        <f t="shared" ref="A140:A150" si="41">+A119</f>
        <v>Schematic Design</v>
      </c>
      <c r="B140" s="357"/>
      <c r="C140" s="339"/>
      <c r="D140" s="469">
        <f t="shared" ref="D140:D146" si="42">D119</f>
        <v>0.11</v>
      </c>
      <c r="E140" s="432">
        <f t="shared" ref="E140:E145" si="43">$D140*E$138</f>
        <v>0</v>
      </c>
      <c r="F140" s="432">
        <f t="shared" ref="F140:I145" si="44">$D140*F$138</f>
        <v>0</v>
      </c>
      <c r="G140" s="432">
        <f t="shared" si="44"/>
        <v>0</v>
      </c>
      <c r="H140" s="432">
        <f t="shared" si="44"/>
        <v>0</v>
      </c>
      <c r="I140" s="432">
        <f t="shared" si="44"/>
        <v>0</v>
      </c>
      <c r="J140" s="389">
        <f>SUM(E140:I140)</f>
        <v>0</v>
      </c>
      <c r="K140" s="355"/>
      <c r="L140" s="322"/>
      <c r="M140" s="496"/>
      <c r="N140" s="300"/>
      <c r="O140" s="301"/>
      <c r="P140" s="301"/>
      <c r="Q140" s="301"/>
      <c r="R140" s="301"/>
      <c r="S140" s="301"/>
      <c r="T140" s="301"/>
    </row>
    <row r="141" spans="1:20" s="33" customFormat="1" ht="13.5" customHeight="1" outlineLevel="1" x14ac:dyDescent="0.2">
      <c r="A141" s="491" t="str">
        <f t="shared" si="41"/>
        <v>Design Development</v>
      </c>
      <c r="B141" s="357"/>
      <c r="C141" s="339"/>
      <c r="D141" s="469">
        <f t="shared" si="42"/>
        <v>0.11</v>
      </c>
      <c r="E141" s="432">
        <f t="shared" si="43"/>
        <v>0</v>
      </c>
      <c r="F141" s="432">
        <f t="shared" si="44"/>
        <v>0</v>
      </c>
      <c r="G141" s="432">
        <f t="shared" si="44"/>
        <v>0</v>
      </c>
      <c r="H141" s="432">
        <f t="shared" si="44"/>
        <v>0</v>
      </c>
      <c r="I141" s="432">
        <f t="shared" si="44"/>
        <v>0</v>
      </c>
      <c r="J141" s="389">
        <f t="shared" ref="J141:J149" si="45">SUM(E141:I141)</f>
        <v>0</v>
      </c>
      <c r="K141" s="355"/>
      <c r="L141" s="322"/>
      <c r="M141" s="496"/>
      <c r="N141" s="300"/>
      <c r="O141" s="301"/>
      <c r="P141" s="301"/>
      <c r="Q141" s="301"/>
      <c r="R141" s="301"/>
      <c r="S141" s="301"/>
      <c r="T141" s="301"/>
    </row>
    <row r="142" spans="1:20" s="33" customFormat="1" ht="13.5" customHeight="1" outlineLevel="1" x14ac:dyDescent="0.2">
      <c r="A142" s="491" t="str">
        <f t="shared" si="41"/>
        <v>Construction Documents</v>
      </c>
      <c r="B142" s="357"/>
      <c r="C142" s="339"/>
      <c r="D142" s="469">
        <f t="shared" si="42"/>
        <v>0.5</v>
      </c>
      <c r="E142" s="432">
        <f t="shared" si="43"/>
        <v>0</v>
      </c>
      <c r="F142" s="432">
        <f t="shared" si="44"/>
        <v>0</v>
      </c>
      <c r="G142" s="432">
        <f t="shared" si="44"/>
        <v>0</v>
      </c>
      <c r="H142" s="432">
        <f t="shared" si="44"/>
        <v>0</v>
      </c>
      <c r="I142" s="432">
        <f t="shared" si="44"/>
        <v>0</v>
      </c>
      <c r="J142" s="389">
        <f t="shared" si="45"/>
        <v>0</v>
      </c>
      <c r="K142" s="803"/>
      <c r="L142" s="803"/>
      <c r="M142" s="804"/>
      <c r="N142" s="300"/>
      <c r="O142" s="301"/>
      <c r="P142" s="301"/>
      <c r="Q142" s="301"/>
      <c r="R142" s="301"/>
      <c r="S142" s="301"/>
      <c r="T142" s="301"/>
    </row>
    <row r="143" spans="1:20" s="33" customFormat="1" ht="13.5" customHeight="1" outlineLevel="1" x14ac:dyDescent="0.2">
      <c r="A143" s="491" t="str">
        <f t="shared" si="41"/>
        <v>Bid/Award</v>
      </c>
      <c r="B143" s="357"/>
      <c r="C143" s="339"/>
      <c r="D143" s="469">
        <f t="shared" si="42"/>
        <v>0.03</v>
      </c>
      <c r="E143" s="432">
        <f t="shared" si="43"/>
        <v>0</v>
      </c>
      <c r="F143" s="432">
        <f t="shared" si="44"/>
        <v>0</v>
      </c>
      <c r="G143" s="432">
        <f t="shared" si="44"/>
        <v>0</v>
      </c>
      <c r="H143" s="432">
        <f t="shared" si="44"/>
        <v>0</v>
      </c>
      <c r="I143" s="432">
        <f t="shared" si="44"/>
        <v>0</v>
      </c>
      <c r="J143" s="389">
        <f t="shared" si="45"/>
        <v>0</v>
      </c>
      <c r="K143" s="803"/>
      <c r="L143" s="803"/>
      <c r="M143" s="804"/>
      <c r="N143" s="300"/>
      <c r="O143" s="301"/>
      <c r="P143" s="301"/>
      <c r="Q143" s="301"/>
      <c r="R143" s="301"/>
      <c r="S143" s="301"/>
      <c r="T143" s="301"/>
    </row>
    <row r="144" spans="1:20" s="33" customFormat="1" ht="13.5" customHeight="1" outlineLevel="1" x14ac:dyDescent="0.2">
      <c r="A144" s="491" t="str">
        <f t="shared" si="41"/>
        <v>Contract Administration</v>
      </c>
      <c r="B144" s="357"/>
      <c r="C144" s="339"/>
      <c r="D144" s="469">
        <f t="shared" si="42"/>
        <v>0.25</v>
      </c>
      <c r="E144" s="432">
        <f t="shared" si="43"/>
        <v>0</v>
      </c>
      <c r="F144" s="432">
        <f t="shared" si="44"/>
        <v>0</v>
      </c>
      <c r="G144" s="432">
        <f t="shared" si="44"/>
        <v>0</v>
      </c>
      <c r="H144" s="432">
        <f t="shared" si="44"/>
        <v>0</v>
      </c>
      <c r="I144" s="432">
        <f t="shared" si="44"/>
        <v>0</v>
      </c>
      <c r="J144" s="389">
        <f t="shared" si="45"/>
        <v>0</v>
      </c>
      <c r="K144" s="355"/>
      <c r="L144" s="322"/>
      <c r="M144" s="496"/>
      <c r="N144" s="300"/>
      <c r="O144" s="301"/>
      <c r="P144" s="301"/>
      <c r="Q144" s="301"/>
      <c r="R144" s="301"/>
      <c r="S144" s="301"/>
      <c r="T144" s="301"/>
    </row>
    <row r="145" spans="1:20" s="33" customFormat="1" ht="13.5" customHeight="1" outlineLevel="1" x14ac:dyDescent="0.2">
      <c r="A145" s="491" t="str">
        <f t="shared" si="41"/>
        <v>Record Documents</v>
      </c>
      <c r="B145" s="357"/>
      <c r="C145" s="339"/>
      <c r="D145" s="469">
        <f t="shared" si="42"/>
        <v>0</v>
      </c>
      <c r="E145" s="470">
        <f t="shared" si="43"/>
        <v>0</v>
      </c>
      <c r="F145" s="471">
        <f t="shared" si="44"/>
        <v>0</v>
      </c>
      <c r="G145" s="471">
        <f t="shared" si="44"/>
        <v>0</v>
      </c>
      <c r="H145" s="471">
        <f t="shared" si="44"/>
        <v>0</v>
      </c>
      <c r="I145" s="471">
        <f t="shared" si="44"/>
        <v>0</v>
      </c>
      <c r="J145" s="389">
        <f t="shared" si="45"/>
        <v>0</v>
      </c>
      <c r="K145" s="355"/>
      <c r="L145" s="322"/>
      <c r="M145" s="496"/>
      <c r="N145" s="300"/>
      <c r="O145" s="301"/>
      <c r="P145" s="301"/>
      <c r="Q145" s="301"/>
      <c r="R145" s="301"/>
      <c r="S145" s="301"/>
      <c r="T145" s="301"/>
    </row>
    <row r="146" spans="1:20" s="33" customFormat="1" ht="13.5" customHeight="1" outlineLevel="1" x14ac:dyDescent="0.2">
      <c r="A146" s="491" t="str">
        <f t="shared" si="41"/>
        <v>Total Basic Fees</v>
      </c>
      <c r="B146" s="357"/>
      <c r="C146" s="339"/>
      <c r="D146" s="469">
        <f t="shared" si="42"/>
        <v>1</v>
      </c>
      <c r="E146" s="348">
        <f t="shared" ref="E146:J146" si="46">SUM(E140:E145)</f>
        <v>0</v>
      </c>
      <c r="F146" s="348">
        <f t="shared" si="46"/>
        <v>0</v>
      </c>
      <c r="G146" s="348">
        <f t="shared" si="46"/>
        <v>0</v>
      </c>
      <c r="H146" s="348">
        <f t="shared" si="46"/>
        <v>0</v>
      </c>
      <c r="I146" s="348">
        <f t="shared" si="46"/>
        <v>0</v>
      </c>
      <c r="J146" s="391">
        <f t="shared" si="46"/>
        <v>0</v>
      </c>
      <c r="K146" s="355"/>
      <c r="L146" s="322"/>
      <c r="M146" s="496"/>
      <c r="N146" s="300"/>
      <c r="O146" s="301"/>
      <c r="P146" s="301"/>
      <c r="Q146" s="301"/>
      <c r="R146" s="301"/>
      <c r="S146" s="301"/>
      <c r="T146" s="301"/>
    </row>
    <row r="147" spans="1:20" s="33" customFormat="1" outlineLevel="1" x14ac:dyDescent="0.2">
      <c r="A147" s="491" t="str">
        <f t="shared" si="41"/>
        <v>Other</v>
      </c>
      <c r="B147" s="357"/>
      <c r="C147" s="339"/>
      <c r="D147" s="434"/>
      <c r="E147" s="338">
        <v>0</v>
      </c>
      <c r="F147" s="338">
        <v>0</v>
      </c>
      <c r="G147" s="338">
        <v>0</v>
      </c>
      <c r="H147" s="338">
        <v>0</v>
      </c>
      <c r="I147" s="338">
        <v>0</v>
      </c>
      <c r="J147" s="389">
        <f t="shared" si="45"/>
        <v>0</v>
      </c>
      <c r="K147" s="355"/>
      <c r="L147" s="322"/>
      <c r="M147" s="496"/>
      <c r="N147" s="300"/>
      <c r="O147" s="301"/>
      <c r="P147" s="301"/>
      <c r="Q147" s="301"/>
      <c r="R147" s="301"/>
      <c r="S147" s="301"/>
      <c r="T147" s="301"/>
    </row>
    <row r="148" spans="1:20" s="33" customFormat="1" outlineLevel="1" x14ac:dyDescent="0.2">
      <c r="A148" s="491" t="str">
        <f t="shared" si="41"/>
        <v>Other</v>
      </c>
      <c r="B148" s="357"/>
      <c r="C148" s="339"/>
      <c r="D148" s="434"/>
      <c r="E148" s="338">
        <v>0</v>
      </c>
      <c r="F148" s="338">
        <v>0</v>
      </c>
      <c r="G148" s="338">
        <v>0</v>
      </c>
      <c r="H148" s="338">
        <v>0</v>
      </c>
      <c r="I148" s="338">
        <v>0</v>
      </c>
      <c r="J148" s="389">
        <f t="shared" si="45"/>
        <v>0</v>
      </c>
      <c r="K148" s="355"/>
      <c r="L148" s="322"/>
      <c r="M148" s="496"/>
      <c r="N148" s="300"/>
      <c r="O148" s="301"/>
      <c r="P148" s="301"/>
      <c r="Q148" s="301"/>
      <c r="R148" s="301"/>
      <c r="S148" s="301"/>
      <c r="T148" s="301"/>
    </row>
    <row r="149" spans="1:20" s="33" customFormat="1" outlineLevel="1" x14ac:dyDescent="0.2">
      <c r="A149" s="491" t="str">
        <f t="shared" si="41"/>
        <v>Other</v>
      </c>
      <c r="B149" s="357"/>
      <c r="C149" s="339"/>
      <c r="D149" s="434"/>
      <c r="E149" s="338">
        <v>0</v>
      </c>
      <c r="F149" s="338">
        <v>0</v>
      </c>
      <c r="G149" s="338">
        <v>0</v>
      </c>
      <c r="H149" s="338">
        <v>0</v>
      </c>
      <c r="I149" s="338">
        <v>0</v>
      </c>
      <c r="J149" s="389">
        <f t="shared" si="45"/>
        <v>0</v>
      </c>
      <c r="K149" s="355"/>
      <c r="L149" s="322"/>
      <c r="M149" s="496"/>
      <c r="N149" s="300"/>
      <c r="O149" s="301"/>
      <c r="P149" s="301"/>
      <c r="Q149" s="301"/>
      <c r="R149" s="301"/>
      <c r="S149" s="301"/>
      <c r="T149" s="301"/>
    </row>
    <row r="150" spans="1:20" s="33" customFormat="1" outlineLevel="1" x14ac:dyDescent="0.2">
      <c r="A150" s="491" t="str">
        <f t="shared" si="41"/>
        <v>Original Architect Fees on Construction Total</v>
      </c>
      <c r="B150" s="357"/>
      <c r="C150" s="339"/>
      <c r="D150" s="434"/>
      <c r="E150" s="348">
        <f t="shared" ref="E150:J150" si="47">SUM(E146:E149)</f>
        <v>0</v>
      </c>
      <c r="F150" s="348">
        <f t="shared" si="47"/>
        <v>0</v>
      </c>
      <c r="G150" s="348">
        <f t="shared" si="47"/>
        <v>0</v>
      </c>
      <c r="H150" s="348">
        <f t="shared" si="47"/>
        <v>0</v>
      </c>
      <c r="I150" s="348">
        <f t="shared" si="47"/>
        <v>0</v>
      </c>
      <c r="J150" s="391">
        <f t="shared" si="47"/>
        <v>0</v>
      </c>
      <c r="K150" s="355"/>
      <c r="L150" s="322"/>
      <c r="M150" s="496"/>
      <c r="N150" s="300"/>
      <c r="O150" s="301"/>
      <c r="P150" s="301"/>
      <c r="Q150" s="301"/>
      <c r="R150" s="301"/>
      <c r="S150" s="301"/>
      <c r="T150" s="301"/>
    </row>
    <row r="151" spans="1:20" s="33" customFormat="1" ht="15" outlineLevel="1" x14ac:dyDescent="0.25">
      <c r="A151" s="501" t="s">
        <v>234</v>
      </c>
      <c r="B151" s="357"/>
      <c r="C151" s="339"/>
      <c r="D151" s="434"/>
      <c r="E151" s="348"/>
      <c r="F151" s="348"/>
      <c r="G151" s="348"/>
      <c r="H151" s="348"/>
      <c r="I151" s="348"/>
      <c r="J151" s="391"/>
      <c r="K151" s="355"/>
      <c r="L151" s="322"/>
      <c r="M151" s="496"/>
      <c r="N151" s="300"/>
      <c r="O151" s="301"/>
      <c r="P151" s="301"/>
      <c r="Q151" s="301"/>
      <c r="R151" s="301"/>
      <c r="S151" s="301"/>
      <c r="T151" s="301"/>
    </row>
    <row r="152" spans="1:20" s="33" customFormat="1" outlineLevel="1" x14ac:dyDescent="0.2">
      <c r="A152" s="491"/>
      <c r="B152" s="357"/>
      <c r="C152" s="393" t="str">
        <f>+C132</f>
        <v xml:space="preserve">Negotiated Fee: </v>
      </c>
      <c r="D152" s="715">
        <f>+D132</f>
        <v>0.1</v>
      </c>
      <c r="E152" s="335">
        <f>IF(E114&gt;0,(E114-E111)*$D152,IF(E113&gt;0,(E113-E111)*$D152,IF(E112&gt;0,(E112-E111)*$D152,0)))</f>
        <v>0</v>
      </c>
      <c r="F152" s="335">
        <f>IF(F114&gt;0,(F114-F111)*$D152,IF(F113&gt;0,(F113-F111)*$D152,IF(F112&gt;0,(F112-F111)*$D152,0)))</f>
        <v>0</v>
      </c>
      <c r="G152" s="335">
        <f>IF(G114&gt;0,(G114-G111)*$D152,IF(G113&gt;0,(G113-G111)*$D152,IF(G112&gt;0,(G112-G111)*$D152,0)))</f>
        <v>0</v>
      </c>
      <c r="H152" s="335">
        <f>IF(H114&gt;0,(H114-H111)*$D152,IF(H113&gt;0,(H113-H111)*$D152,IF(H112&gt;0,(H112-H111)*$D152,0)))</f>
        <v>0</v>
      </c>
      <c r="I152" s="335">
        <f>IF(I114&gt;0,(I114-I111)*$D152,IF(I113&gt;0,(I113-I111)*$D152,IF(I112&gt;0,(I112-I111)*$D152,0)))</f>
        <v>0</v>
      </c>
      <c r="J152" s="388">
        <f>SUM(E152:I152)</f>
        <v>0</v>
      </c>
      <c r="K152" s="355"/>
      <c r="L152" s="322"/>
      <c r="M152" s="496"/>
      <c r="N152" s="300"/>
      <c r="O152" s="301"/>
      <c r="P152" s="301"/>
      <c r="Q152" s="301"/>
      <c r="R152" s="301"/>
      <c r="S152" s="301"/>
      <c r="T152" s="301"/>
    </row>
    <row r="153" spans="1:20" s="33" customFormat="1" outlineLevel="1" x14ac:dyDescent="0.2">
      <c r="A153" s="491" t="s">
        <v>216</v>
      </c>
      <c r="B153" s="357"/>
      <c r="C153" s="339"/>
      <c r="D153" s="462">
        <f>+D133</f>
        <v>1</v>
      </c>
      <c r="E153" s="432">
        <f>$D153*E$152</f>
        <v>0</v>
      </c>
      <c r="F153" s="432">
        <f t="shared" ref="F153:I154" si="48">$D153*F$152</f>
        <v>0</v>
      </c>
      <c r="G153" s="432">
        <f t="shared" si="48"/>
        <v>0</v>
      </c>
      <c r="H153" s="432">
        <f t="shared" si="48"/>
        <v>0</v>
      </c>
      <c r="I153" s="432">
        <f t="shared" si="48"/>
        <v>0</v>
      </c>
      <c r="J153" s="389">
        <f>SUM(E153:I153)</f>
        <v>0</v>
      </c>
      <c r="K153" s="355"/>
      <c r="L153" s="322"/>
      <c r="M153" s="496"/>
      <c r="N153" s="300"/>
      <c r="O153" s="301"/>
      <c r="P153" s="301"/>
      <c r="Q153" s="301"/>
      <c r="R153" s="301"/>
      <c r="S153" s="301"/>
      <c r="T153" s="301"/>
    </row>
    <row r="154" spans="1:20" s="33" customFormat="1" outlineLevel="1" x14ac:dyDescent="0.2">
      <c r="A154" s="491" t="str">
        <f>+A134</f>
        <v>Other</v>
      </c>
      <c r="B154" s="357"/>
      <c r="C154" s="339"/>
      <c r="D154" s="716"/>
      <c r="E154" s="432">
        <f>$D154*E$152</f>
        <v>0</v>
      </c>
      <c r="F154" s="432">
        <f t="shared" si="48"/>
        <v>0</v>
      </c>
      <c r="G154" s="432">
        <f t="shared" si="48"/>
        <v>0</v>
      </c>
      <c r="H154" s="432">
        <f t="shared" si="48"/>
        <v>0</v>
      </c>
      <c r="I154" s="432">
        <f t="shared" si="48"/>
        <v>0</v>
      </c>
      <c r="J154" s="389">
        <f>SUM(E154:I154)</f>
        <v>0</v>
      </c>
      <c r="K154" s="355"/>
      <c r="L154" s="322"/>
      <c r="M154" s="496"/>
      <c r="N154" s="300"/>
      <c r="O154" s="301"/>
      <c r="P154" s="301"/>
      <c r="Q154" s="301"/>
      <c r="R154" s="301"/>
      <c r="S154" s="301"/>
      <c r="T154" s="301"/>
    </row>
    <row r="155" spans="1:20" s="33" customFormat="1" outlineLevel="1" x14ac:dyDescent="0.2">
      <c r="A155" s="491" t="str">
        <f>+A135</f>
        <v>Disbursements</v>
      </c>
      <c r="B155" s="357"/>
      <c r="C155" s="339"/>
      <c r="D155" s="339"/>
      <c r="E155" s="338">
        <v>0</v>
      </c>
      <c r="F155" s="338">
        <v>0</v>
      </c>
      <c r="G155" s="338">
        <v>0</v>
      </c>
      <c r="H155" s="338">
        <v>0</v>
      </c>
      <c r="I155" s="338">
        <v>0</v>
      </c>
      <c r="J155" s="389">
        <f>SUM(E155:I155)</f>
        <v>0</v>
      </c>
      <c r="K155" s="355"/>
      <c r="L155" s="322"/>
      <c r="M155" s="496"/>
      <c r="N155" s="300"/>
      <c r="O155" s="301"/>
      <c r="P155" s="301"/>
      <c r="Q155" s="301"/>
      <c r="R155" s="301"/>
      <c r="S155" s="301"/>
      <c r="T155" s="301"/>
    </row>
    <row r="156" spans="1:20" s="33" customFormat="1" outlineLevel="1" x14ac:dyDescent="0.2">
      <c r="A156" s="502" t="str">
        <f>+A136</f>
        <v>Total Original Contract</v>
      </c>
      <c r="B156" s="426"/>
      <c r="C156" s="428"/>
      <c r="D156" s="428"/>
      <c r="E156" s="429">
        <f t="shared" ref="E156:J156" si="49">SUM(E153:E155)+E150</f>
        <v>0</v>
      </c>
      <c r="F156" s="429">
        <f t="shared" si="49"/>
        <v>0</v>
      </c>
      <c r="G156" s="429">
        <f t="shared" si="49"/>
        <v>0</v>
      </c>
      <c r="H156" s="429">
        <f t="shared" si="49"/>
        <v>0</v>
      </c>
      <c r="I156" s="429">
        <f t="shared" si="49"/>
        <v>0</v>
      </c>
      <c r="J156" s="411">
        <f t="shared" si="49"/>
        <v>0</v>
      </c>
      <c r="K156" s="430"/>
      <c r="L156" s="408"/>
      <c r="M156" s="504"/>
      <c r="N156" s="300"/>
      <c r="O156" s="301"/>
      <c r="P156" s="301"/>
      <c r="Q156" s="301"/>
      <c r="R156" s="301"/>
      <c r="S156" s="301"/>
      <c r="T156" s="301"/>
    </row>
    <row r="157" spans="1:20" s="33" customFormat="1" ht="18.75" customHeight="1" outlineLevel="1" x14ac:dyDescent="0.25">
      <c r="A157" s="501" t="s">
        <v>237</v>
      </c>
      <c r="B157" s="357"/>
      <c r="C157" s="339"/>
      <c r="D157" s="339"/>
      <c r="E157" s="432"/>
      <c r="F157" s="432"/>
      <c r="G157" s="432"/>
      <c r="H157" s="432"/>
      <c r="I157" s="432"/>
      <c r="J157" s="389"/>
      <c r="K157" s="325" t="s">
        <v>186</v>
      </c>
      <c r="L157" s="326" t="s">
        <v>242</v>
      </c>
      <c r="M157" s="505" t="s">
        <v>188</v>
      </c>
      <c r="N157" s="300"/>
      <c r="O157" s="301"/>
      <c r="P157" s="301"/>
      <c r="Q157" s="301"/>
      <c r="R157" s="301"/>
      <c r="S157" s="301"/>
      <c r="T157" s="301"/>
    </row>
    <row r="158" spans="1:20" s="33" customFormat="1" ht="15" outlineLevel="1" x14ac:dyDescent="0.25">
      <c r="A158" s="501"/>
      <c r="B158" s="357"/>
      <c r="C158" s="435" t="str">
        <f>+C138</f>
        <v>Negotiated Fee</v>
      </c>
      <c r="D158" s="715">
        <f>+D138</f>
        <v>0.1</v>
      </c>
      <c r="E158" s="436">
        <f>+E138+E117</f>
        <v>0</v>
      </c>
      <c r="F158" s="436">
        <f>+F138+F117</f>
        <v>0</v>
      </c>
      <c r="G158" s="436">
        <f>+G138+G117</f>
        <v>0</v>
      </c>
      <c r="H158" s="436">
        <f>+H138+H117</f>
        <v>0</v>
      </c>
      <c r="I158" s="436">
        <f>+I138+I117</f>
        <v>0</v>
      </c>
      <c r="J158" s="388">
        <f>SUM(E158:I158)</f>
        <v>0</v>
      </c>
      <c r="K158" s="51"/>
      <c r="L158" s="51"/>
      <c r="M158" s="506"/>
      <c r="N158" s="300"/>
      <c r="O158" s="301"/>
      <c r="P158" s="301"/>
      <c r="Q158" s="301"/>
      <c r="R158" s="301"/>
      <c r="S158" s="301"/>
      <c r="T158" s="301"/>
    </row>
    <row r="159" spans="1:20" s="33" customFormat="1" ht="15" outlineLevel="1" x14ac:dyDescent="0.25">
      <c r="A159" s="501"/>
      <c r="B159" s="357"/>
      <c r="C159" s="339"/>
      <c r="D159" s="463" t="str">
        <f t="shared" ref="D159:D166" si="50">+D139</f>
        <v>Fee Rate</v>
      </c>
      <c r="E159" s="432"/>
      <c r="F159" s="432"/>
      <c r="G159" s="432"/>
      <c r="H159" s="432"/>
      <c r="I159" s="432"/>
      <c r="J159" s="389"/>
      <c r="K159" s="612"/>
      <c r="L159" s="51"/>
      <c r="M159" s="506"/>
      <c r="N159" s="300"/>
      <c r="O159" s="301"/>
      <c r="P159" s="301"/>
      <c r="Q159" s="301"/>
      <c r="R159" s="301"/>
      <c r="S159" s="301"/>
      <c r="T159" s="301"/>
    </row>
    <row r="160" spans="1:20" s="33" customFormat="1" outlineLevel="1" x14ac:dyDescent="0.2">
      <c r="A160" s="491" t="str">
        <f t="shared" ref="A160:A169" si="51">+A140</f>
        <v>Schematic Design</v>
      </c>
      <c r="B160" s="357"/>
      <c r="C160" s="339"/>
      <c r="D160" s="469">
        <f t="shared" si="50"/>
        <v>0.11</v>
      </c>
      <c r="E160" s="432">
        <f t="shared" ref="E160:I165" si="52">$D160*E$158</f>
        <v>0</v>
      </c>
      <c r="F160" s="432">
        <f t="shared" si="52"/>
        <v>0</v>
      </c>
      <c r="G160" s="432">
        <f t="shared" si="52"/>
        <v>0</v>
      </c>
      <c r="H160" s="432">
        <f t="shared" si="52"/>
        <v>0</v>
      </c>
      <c r="I160" s="432">
        <f t="shared" si="52"/>
        <v>0</v>
      </c>
      <c r="J160" s="389">
        <f>SUM(E160:I160)</f>
        <v>0</v>
      </c>
      <c r="K160" s="613">
        <f t="shared" ref="K160:K170" si="53">IFERROR(J178/J160,0)</f>
        <v>0</v>
      </c>
      <c r="L160" s="337">
        <f t="shared" ref="L160:L170" si="54">+J178</f>
        <v>0</v>
      </c>
      <c r="M160" s="507">
        <f t="shared" ref="M160:M167" si="55">+J160-L160</f>
        <v>0</v>
      </c>
      <c r="N160" s="300"/>
      <c r="O160" s="301"/>
      <c r="P160" s="301"/>
      <c r="Q160" s="301"/>
      <c r="R160" s="301"/>
      <c r="S160" s="301"/>
      <c r="T160" s="301"/>
    </row>
    <row r="161" spans="1:20" s="33" customFormat="1" outlineLevel="1" x14ac:dyDescent="0.2">
      <c r="A161" s="491" t="str">
        <f t="shared" si="51"/>
        <v>Design Development</v>
      </c>
      <c r="B161" s="357"/>
      <c r="C161" s="339"/>
      <c r="D161" s="469">
        <f t="shared" si="50"/>
        <v>0.11</v>
      </c>
      <c r="E161" s="432">
        <f t="shared" si="52"/>
        <v>0</v>
      </c>
      <c r="F161" s="432">
        <f t="shared" si="52"/>
        <v>0</v>
      </c>
      <c r="G161" s="432">
        <f t="shared" si="52"/>
        <v>0</v>
      </c>
      <c r="H161" s="432">
        <f t="shared" si="52"/>
        <v>0</v>
      </c>
      <c r="I161" s="432">
        <f t="shared" si="52"/>
        <v>0</v>
      </c>
      <c r="J161" s="389">
        <f t="shared" ref="J161:J174" si="56">SUM(E161:I161)</f>
        <v>0</v>
      </c>
      <c r="K161" s="614">
        <f t="shared" si="53"/>
        <v>0</v>
      </c>
      <c r="L161" s="337">
        <f t="shared" si="54"/>
        <v>0</v>
      </c>
      <c r="M161" s="507">
        <f t="shared" si="55"/>
        <v>0</v>
      </c>
      <c r="N161" s="300"/>
      <c r="O161" s="301"/>
      <c r="P161" s="301"/>
      <c r="Q161" s="301"/>
      <c r="R161" s="301"/>
      <c r="S161" s="301"/>
      <c r="T161" s="301"/>
    </row>
    <row r="162" spans="1:20" s="33" customFormat="1" outlineLevel="1" x14ac:dyDescent="0.2">
      <c r="A162" s="491" t="str">
        <f t="shared" si="51"/>
        <v>Construction Documents</v>
      </c>
      <c r="B162" s="357"/>
      <c r="C162" s="339"/>
      <c r="D162" s="469">
        <f t="shared" si="50"/>
        <v>0.5</v>
      </c>
      <c r="E162" s="432">
        <f t="shared" si="52"/>
        <v>0</v>
      </c>
      <c r="F162" s="432">
        <f t="shared" si="52"/>
        <v>0</v>
      </c>
      <c r="G162" s="432">
        <f t="shared" si="52"/>
        <v>0</v>
      </c>
      <c r="H162" s="432">
        <f t="shared" si="52"/>
        <v>0</v>
      </c>
      <c r="I162" s="432">
        <f t="shared" si="52"/>
        <v>0</v>
      </c>
      <c r="J162" s="389">
        <f t="shared" si="56"/>
        <v>0</v>
      </c>
      <c r="K162" s="614">
        <f t="shared" si="53"/>
        <v>0</v>
      </c>
      <c r="L162" s="337">
        <f t="shared" si="54"/>
        <v>0</v>
      </c>
      <c r="M162" s="507">
        <f t="shared" si="55"/>
        <v>0</v>
      </c>
      <c r="N162" s="300"/>
      <c r="O162" s="301"/>
      <c r="P162" s="301"/>
      <c r="Q162" s="301"/>
      <c r="R162" s="301"/>
      <c r="S162" s="301"/>
      <c r="T162" s="301"/>
    </row>
    <row r="163" spans="1:20" s="33" customFormat="1" outlineLevel="1" x14ac:dyDescent="0.2">
      <c r="A163" s="491" t="str">
        <f t="shared" si="51"/>
        <v>Bid/Award</v>
      </c>
      <c r="B163" s="357"/>
      <c r="C163" s="339"/>
      <c r="D163" s="469">
        <f t="shared" si="50"/>
        <v>0.03</v>
      </c>
      <c r="E163" s="432">
        <f t="shared" si="52"/>
        <v>0</v>
      </c>
      <c r="F163" s="432">
        <f t="shared" si="52"/>
        <v>0</v>
      </c>
      <c r="G163" s="432">
        <f t="shared" si="52"/>
        <v>0</v>
      </c>
      <c r="H163" s="432">
        <f t="shared" si="52"/>
        <v>0</v>
      </c>
      <c r="I163" s="432">
        <f t="shared" si="52"/>
        <v>0</v>
      </c>
      <c r="J163" s="389">
        <f t="shared" si="56"/>
        <v>0</v>
      </c>
      <c r="K163" s="614">
        <f t="shared" si="53"/>
        <v>0</v>
      </c>
      <c r="L163" s="337">
        <f t="shared" si="54"/>
        <v>0</v>
      </c>
      <c r="M163" s="507">
        <f t="shared" si="55"/>
        <v>0</v>
      </c>
      <c r="N163" s="300"/>
      <c r="O163" s="301"/>
      <c r="P163" s="301"/>
      <c r="Q163" s="301"/>
      <c r="R163" s="301"/>
      <c r="S163" s="301"/>
      <c r="T163" s="301"/>
    </row>
    <row r="164" spans="1:20" s="33" customFormat="1" outlineLevel="1" x14ac:dyDescent="0.2">
      <c r="A164" s="491" t="str">
        <f t="shared" si="51"/>
        <v>Contract Administration</v>
      </c>
      <c r="B164" s="357"/>
      <c r="C164" s="339"/>
      <c r="D164" s="469">
        <f t="shared" si="50"/>
        <v>0.25</v>
      </c>
      <c r="E164" s="432">
        <f t="shared" si="52"/>
        <v>0</v>
      </c>
      <c r="F164" s="432">
        <f t="shared" si="52"/>
        <v>0</v>
      </c>
      <c r="G164" s="432">
        <f t="shared" si="52"/>
        <v>0</v>
      </c>
      <c r="H164" s="432">
        <f t="shared" si="52"/>
        <v>0</v>
      </c>
      <c r="I164" s="432">
        <f t="shared" si="52"/>
        <v>0</v>
      </c>
      <c r="J164" s="389">
        <f t="shared" si="56"/>
        <v>0</v>
      </c>
      <c r="K164" s="614">
        <f t="shared" si="53"/>
        <v>0</v>
      </c>
      <c r="L164" s="337">
        <f t="shared" si="54"/>
        <v>0</v>
      </c>
      <c r="M164" s="507">
        <f t="shared" si="55"/>
        <v>0</v>
      </c>
      <c r="N164" s="300"/>
      <c r="O164" s="301"/>
      <c r="P164" s="301"/>
      <c r="Q164" s="301"/>
      <c r="R164" s="301"/>
      <c r="S164" s="301"/>
      <c r="T164" s="301"/>
    </row>
    <row r="165" spans="1:20" s="33" customFormat="1" outlineLevel="1" x14ac:dyDescent="0.2">
      <c r="A165" s="491" t="str">
        <f t="shared" si="51"/>
        <v>Record Documents</v>
      </c>
      <c r="B165" s="357"/>
      <c r="C165" s="339"/>
      <c r="D165" s="469">
        <f t="shared" si="50"/>
        <v>0</v>
      </c>
      <c r="E165" s="470">
        <f t="shared" si="52"/>
        <v>0</v>
      </c>
      <c r="F165" s="471">
        <f t="shared" si="52"/>
        <v>0</v>
      </c>
      <c r="G165" s="471">
        <f t="shared" si="52"/>
        <v>0</v>
      </c>
      <c r="H165" s="471">
        <f t="shared" si="52"/>
        <v>0</v>
      </c>
      <c r="I165" s="471">
        <f t="shared" si="52"/>
        <v>0</v>
      </c>
      <c r="J165" s="389">
        <f t="shared" si="56"/>
        <v>0</v>
      </c>
      <c r="K165" s="614">
        <f t="shared" si="53"/>
        <v>0</v>
      </c>
      <c r="L165" s="337">
        <f t="shared" si="54"/>
        <v>0</v>
      </c>
      <c r="M165" s="507">
        <f t="shared" si="55"/>
        <v>0</v>
      </c>
      <c r="N165" s="300"/>
      <c r="O165" s="301"/>
      <c r="P165" s="301"/>
      <c r="Q165" s="301"/>
      <c r="R165" s="301"/>
      <c r="S165" s="301"/>
      <c r="T165" s="301"/>
    </row>
    <row r="166" spans="1:20" s="33" customFormat="1" outlineLevel="1" x14ac:dyDescent="0.2">
      <c r="A166" s="491" t="str">
        <f t="shared" si="51"/>
        <v>Total Basic Fees</v>
      </c>
      <c r="B166" s="357"/>
      <c r="C166" s="339"/>
      <c r="D166" s="469">
        <f t="shared" si="50"/>
        <v>1</v>
      </c>
      <c r="E166" s="348">
        <f t="shared" ref="E166:J166" si="57">SUM(E160:E165)</f>
        <v>0</v>
      </c>
      <c r="F166" s="348">
        <f t="shared" si="57"/>
        <v>0</v>
      </c>
      <c r="G166" s="348">
        <f t="shared" si="57"/>
        <v>0</v>
      </c>
      <c r="H166" s="348">
        <f t="shared" si="57"/>
        <v>0</v>
      </c>
      <c r="I166" s="348">
        <f t="shared" si="57"/>
        <v>0</v>
      </c>
      <c r="J166" s="391">
        <f t="shared" si="57"/>
        <v>0</v>
      </c>
      <c r="K166" s="615">
        <f t="shared" si="53"/>
        <v>0</v>
      </c>
      <c r="L166" s="441">
        <f t="shared" si="54"/>
        <v>0</v>
      </c>
      <c r="M166" s="508">
        <f t="shared" si="55"/>
        <v>0</v>
      </c>
      <c r="N166" s="300"/>
      <c r="O166" s="301"/>
      <c r="P166" s="301"/>
      <c r="Q166" s="301"/>
      <c r="R166" s="301"/>
      <c r="S166" s="301"/>
      <c r="T166" s="301"/>
    </row>
    <row r="167" spans="1:20" s="33" customFormat="1" outlineLevel="1" x14ac:dyDescent="0.2">
      <c r="A167" s="491" t="str">
        <f t="shared" si="51"/>
        <v>Other</v>
      </c>
      <c r="B167" s="357"/>
      <c r="C167" s="339"/>
      <c r="D167" s="51"/>
      <c r="E167" s="432">
        <f>E147+E126</f>
        <v>0</v>
      </c>
      <c r="F167" s="432">
        <f t="shared" ref="F167:I169" si="58">F147+F126</f>
        <v>0</v>
      </c>
      <c r="G167" s="432">
        <f t="shared" si="58"/>
        <v>0</v>
      </c>
      <c r="H167" s="432">
        <f t="shared" si="58"/>
        <v>0</v>
      </c>
      <c r="I167" s="432">
        <f t="shared" si="58"/>
        <v>0</v>
      </c>
      <c r="J167" s="389">
        <f t="shared" si="56"/>
        <v>0</v>
      </c>
      <c r="K167" s="614">
        <f t="shared" si="53"/>
        <v>0</v>
      </c>
      <c r="L167" s="337">
        <f t="shared" si="54"/>
        <v>0</v>
      </c>
      <c r="M167" s="507">
        <f t="shared" si="55"/>
        <v>0</v>
      </c>
      <c r="N167" s="300"/>
      <c r="O167" s="301"/>
      <c r="P167" s="301"/>
      <c r="Q167" s="301"/>
      <c r="R167" s="301"/>
      <c r="S167" s="301"/>
      <c r="T167" s="301"/>
    </row>
    <row r="168" spans="1:20" s="33" customFormat="1" outlineLevel="1" x14ac:dyDescent="0.2">
      <c r="A168" s="491" t="str">
        <f t="shared" si="51"/>
        <v>Other</v>
      </c>
      <c r="B168" s="357"/>
      <c r="C168" s="339"/>
      <c r="D168" s="339"/>
      <c r="E168" s="432">
        <f>E148+E127</f>
        <v>0</v>
      </c>
      <c r="F168" s="432">
        <f t="shared" si="58"/>
        <v>0</v>
      </c>
      <c r="G168" s="432">
        <f t="shared" si="58"/>
        <v>0</v>
      </c>
      <c r="H168" s="432">
        <f t="shared" si="58"/>
        <v>0</v>
      </c>
      <c r="I168" s="432">
        <f t="shared" si="58"/>
        <v>0</v>
      </c>
      <c r="J168" s="389">
        <f t="shared" si="56"/>
        <v>0</v>
      </c>
      <c r="K168" s="614">
        <f t="shared" si="53"/>
        <v>0</v>
      </c>
      <c r="L168" s="337">
        <f t="shared" si="54"/>
        <v>0</v>
      </c>
      <c r="M168" s="507">
        <f t="shared" ref="M168:M176" si="59">+J168-L168</f>
        <v>0</v>
      </c>
      <c r="N168" s="300"/>
      <c r="O168" s="301"/>
      <c r="P168" s="301"/>
      <c r="Q168" s="301"/>
      <c r="R168" s="301"/>
      <c r="S168" s="301"/>
      <c r="T168" s="301"/>
    </row>
    <row r="169" spans="1:20" s="33" customFormat="1" outlineLevel="1" x14ac:dyDescent="0.2">
      <c r="A169" s="491" t="str">
        <f t="shared" si="51"/>
        <v>Other</v>
      </c>
      <c r="B169" s="357"/>
      <c r="C169" s="339"/>
      <c r="D169" s="339"/>
      <c r="E169" s="432">
        <f>E149+E128</f>
        <v>0</v>
      </c>
      <c r="F169" s="432">
        <f t="shared" si="58"/>
        <v>0</v>
      </c>
      <c r="G169" s="432">
        <f t="shared" si="58"/>
        <v>0</v>
      </c>
      <c r="H169" s="432">
        <f t="shared" si="58"/>
        <v>0</v>
      </c>
      <c r="I169" s="432">
        <f t="shared" si="58"/>
        <v>0</v>
      </c>
      <c r="J169" s="389">
        <f t="shared" si="56"/>
        <v>0</v>
      </c>
      <c r="K169" s="614">
        <f t="shared" si="53"/>
        <v>0</v>
      </c>
      <c r="L169" s="337">
        <f t="shared" si="54"/>
        <v>0</v>
      </c>
      <c r="M169" s="507">
        <f t="shared" si="59"/>
        <v>0</v>
      </c>
      <c r="N169" s="300"/>
      <c r="O169" s="301"/>
      <c r="P169" s="301"/>
      <c r="Q169" s="301"/>
      <c r="R169" s="301"/>
      <c r="S169" s="301"/>
      <c r="T169" s="301"/>
    </row>
    <row r="170" spans="1:20" s="33" customFormat="1" outlineLevel="1" x14ac:dyDescent="0.2">
      <c r="A170" s="491" t="str">
        <f>A157&amp;" Total"</f>
        <v>Total Revised Architect Fees on Construction Total</v>
      </c>
      <c r="B170" s="357"/>
      <c r="C170" s="339"/>
      <c r="D170" s="339"/>
      <c r="E170" s="348">
        <f t="shared" ref="E170:J170" si="60">SUM(E166:E169)</f>
        <v>0</v>
      </c>
      <c r="F170" s="348">
        <f t="shared" si="60"/>
        <v>0</v>
      </c>
      <c r="G170" s="348">
        <f t="shared" si="60"/>
        <v>0</v>
      </c>
      <c r="H170" s="348">
        <f t="shared" si="60"/>
        <v>0</v>
      </c>
      <c r="I170" s="348">
        <f t="shared" si="60"/>
        <v>0</v>
      </c>
      <c r="J170" s="391">
        <f t="shared" si="60"/>
        <v>0</v>
      </c>
      <c r="K170" s="615">
        <f t="shared" si="53"/>
        <v>0</v>
      </c>
      <c r="L170" s="441">
        <f t="shared" si="54"/>
        <v>0</v>
      </c>
      <c r="M170" s="508">
        <f t="shared" si="59"/>
        <v>0</v>
      </c>
      <c r="N170" s="300"/>
      <c r="O170" s="301"/>
      <c r="P170" s="301"/>
      <c r="Q170" s="301"/>
      <c r="R170" s="301"/>
      <c r="S170" s="301"/>
      <c r="T170" s="301"/>
    </row>
    <row r="171" spans="1:20" s="33" customFormat="1" ht="15" outlineLevel="1" x14ac:dyDescent="0.25">
      <c r="A171" s="501" t="s">
        <v>238</v>
      </c>
      <c r="B171" s="357"/>
      <c r="C171" s="339"/>
      <c r="D171" s="339"/>
      <c r="E171" s="432"/>
      <c r="F171" s="432"/>
      <c r="G171" s="432"/>
      <c r="H171" s="432"/>
      <c r="I171" s="432"/>
      <c r="J171" s="389"/>
      <c r="K171" s="614"/>
      <c r="L171" s="337"/>
      <c r="M171" s="507">
        <f t="shared" si="59"/>
        <v>0</v>
      </c>
      <c r="N171" s="300"/>
      <c r="O171" s="301"/>
      <c r="P171" s="301"/>
      <c r="Q171" s="301"/>
      <c r="R171" s="301"/>
      <c r="S171" s="301"/>
      <c r="T171" s="301"/>
    </row>
    <row r="172" spans="1:20" s="33" customFormat="1" ht="15" outlineLevel="1" x14ac:dyDescent="0.25">
      <c r="A172" s="501"/>
      <c r="B172" s="357"/>
      <c r="C172" s="435" t="str">
        <f>+C152</f>
        <v xml:space="preserve">Negotiated Fee: </v>
      </c>
      <c r="D172" s="714">
        <f>+D152</f>
        <v>0.1</v>
      </c>
      <c r="E172" s="436">
        <f>+E152+E132</f>
        <v>0</v>
      </c>
      <c r="F172" s="436">
        <f>+F152+F132</f>
        <v>0</v>
      </c>
      <c r="G172" s="436">
        <f>+G152+G132</f>
        <v>0</v>
      </c>
      <c r="H172" s="436">
        <f>+H152+H132</f>
        <v>0</v>
      </c>
      <c r="I172" s="436">
        <f>+I152+I132</f>
        <v>0</v>
      </c>
      <c r="J172" s="388">
        <f>SUM(E172:I172)</f>
        <v>0</v>
      </c>
      <c r="K172" s="614"/>
      <c r="L172" s="337"/>
      <c r="M172" s="507"/>
      <c r="N172" s="300"/>
      <c r="O172" s="301"/>
      <c r="P172" s="301"/>
      <c r="Q172" s="301"/>
      <c r="R172" s="301"/>
      <c r="S172" s="301"/>
      <c r="T172" s="301"/>
    </row>
    <row r="173" spans="1:20" s="33" customFormat="1" outlineLevel="1" x14ac:dyDescent="0.2">
      <c r="A173" s="491" t="str">
        <f>+A153</f>
        <v>Architect Fees on Furniture</v>
      </c>
      <c r="B173" s="357"/>
      <c r="C173" s="339"/>
      <c r="D173" s="433">
        <f>+D153</f>
        <v>1</v>
      </c>
      <c r="E173" s="432">
        <f>+$D$173*E172</f>
        <v>0</v>
      </c>
      <c r="F173" s="432">
        <f>+$D$173*F172</f>
        <v>0</v>
      </c>
      <c r="G173" s="432">
        <f>+$D$173*G172</f>
        <v>0</v>
      </c>
      <c r="H173" s="432">
        <f>+$D$173*H172</f>
        <v>0</v>
      </c>
      <c r="I173" s="432">
        <f>+$D$173*I172</f>
        <v>0</v>
      </c>
      <c r="J173" s="389">
        <f>SUM(E173:I173)</f>
        <v>0</v>
      </c>
      <c r="K173" s="614">
        <f>IFERROR(J189/J173,0)</f>
        <v>0</v>
      </c>
      <c r="L173" s="337">
        <f>+J189</f>
        <v>0</v>
      </c>
      <c r="M173" s="507">
        <f t="shared" si="59"/>
        <v>0</v>
      </c>
      <c r="N173" s="300"/>
      <c r="O173" s="301"/>
      <c r="P173" s="301"/>
      <c r="Q173" s="301"/>
      <c r="R173" s="301"/>
      <c r="S173" s="301"/>
      <c r="T173" s="301"/>
    </row>
    <row r="174" spans="1:20" s="33" customFormat="1" outlineLevel="1" x14ac:dyDescent="0.2">
      <c r="A174" s="491" t="str">
        <f>+A154</f>
        <v>Other</v>
      </c>
      <c r="B174" s="357"/>
      <c r="C174" s="339"/>
      <c r="D174" s="339"/>
      <c r="E174" s="432">
        <f t="shared" ref="E174:I175" si="61">+E154+E134</f>
        <v>0</v>
      </c>
      <c r="F174" s="432">
        <f t="shared" si="61"/>
        <v>0</v>
      </c>
      <c r="G174" s="432">
        <f t="shared" si="61"/>
        <v>0</v>
      </c>
      <c r="H174" s="432">
        <f t="shared" si="61"/>
        <v>0</v>
      </c>
      <c r="I174" s="432">
        <f t="shared" si="61"/>
        <v>0</v>
      </c>
      <c r="J174" s="389">
        <f t="shared" si="56"/>
        <v>0</v>
      </c>
      <c r="K174" s="614">
        <f>IFERROR(J190/J174,0)</f>
        <v>0</v>
      </c>
      <c r="L174" s="337">
        <f>+J190</f>
        <v>0</v>
      </c>
      <c r="M174" s="507">
        <f t="shared" si="59"/>
        <v>0</v>
      </c>
      <c r="N174" s="300"/>
      <c r="O174" s="301"/>
      <c r="P174" s="301"/>
      <c r="Q174" s="301"/>
      <c r="R174" s="301"/>
      <c r="S174" s="301"/>
      <c r="T174" s="301"/>
    </row>
    <row r="175" spans="1:20" s="33" customFormat="1" outlineLevel="1" x14ac:dyDescent="0.2">
      <c r="A175" s="491" t="str">
        <f>+A155</f>
        <v>Disbursements</v>
      </c>
      <c r="B175" s="357"/>
      <c r="C175" s="339"/>
      <c r="D175" s="339"/>
      <c r="E175" s="432">
        <f t="shared" si="61"/>
        <v>0</v>
      </c>
      <c r="F175" s="432">
        <f t="shared" si="61"/>
        <v>0</v>
      </c>
      <c r="G175" s="432">
        <f t="shared" si="61"/>
        <v>0</v>
      </c>
      <c r="H175" s="432">
        <f t="shared" si="61"/>
        <v>0</v>
      </c>
      <c r="I175" s="432">
        <f t="shared" si="61"/>
        <v>0</v>
      </c>
      <c r="J175" s="391">
        <f>SUM(J171:J174)</f>
        <v>0</v>
      </c>
      <c r="K175" s="614">
        <f>IFERROR(J191/J175,0)</f>
        <v>0</v>
      </c>
      <c r="L175" s="337">
        <f>+J191</f>
        <v>0</v>
      </c>
      <c r="M175" s="507">
        <f t="shared" si="59"/>
        <v>0</v>
      </c>
      <c r="N175" s="300"/>
      <c r="O175" s="301"/>
      <c r="P175" s="301"/>
      <c r="Q175" s="301"/>
      <c r="R175" s="301"/>
      <c r="S175" s="301"/>
      <c r="T175" s="301"/>
    </row>
    <row r="176" spans="1:20" s="33" customFormat="1" outlineLevel="1" x14ac:dyDescent="0.2">
      <c r="A176" s="491" t="s">
        <v>220</v>
      </c>
      <c r="B176" s="357"/>
      <c r="C176" s="339"/>
      <c r="D176" s="339"/>
      <c r="E176" s="348">
        <f t="shared" ref="E176:J176" si="62">SUM(E173:E175)+E170</f>
        <v>0</v>
      </c>
      <c r="F176" s="348">
        <f t="shared" si="62"/>
        <v>0</v>
      </c>
      <c r="G176" s="348">
        <f t="shared" si="62"/>
        <v>0</v>
      </c>
      <c r="H176" s="348">
        <f t="shared" si="62"/>
        <v>0</v>
      </c>
      <c r="I176" s="348">
        <f t="shared" si="62"/>
        <v>0</v>
      </c>
      <c r="J176" s="391">
        <f t="shared" si="62"/>
        <v>0</v>
      </c>
      <c r="K176" s="615">
        <f>IFERROR(J192/J176,0)</f>
        <v>0</v>
      </c>
      <c r="L176" s="441">
        <f>+J192</f>
        <v>0</v>
      </c>
      <c r="M176" s="508">
        <f t="shared" si="59"/>
        <v>0</v>
      </c>
      <c r="N176" s="300"/>
      <c r="O176" s="301"/>
      <c r="P176" s="301"/>
      <c r="Q176" s="301"/>
      <c r="R176" s="301"/>
      <c r="S176" s="301"/>
      <c r="T176" s="301"/>
    </row>
    <row r="177" spans="1:20" s="33" customFormat="1" ht="26.25" outlineLevel="1" x14ac:dyDescent="0.25">
      <c r="A177" s="509" t="str">
        <f>+A94</f>
        <v>Work Completed to Date</v>
      </c>
      <c r="B177" s="328"/>
      <c r="C177" s="370" t="s">
        <v>225</v>
      </c>
      <c r="D177" s="346" t="s">
        <v>186</v>
      </c>
      <c r="E177" s="329"/>
      <c r="F177" s="329"/>
      <c r="G177" s="329"/>
      <c r="H177" s="329"/>
      <c r="I177" s="329"/>
      <c r="J177" s="351"/>
      <c r="K177" s="329" t="s">
        <v>235</v>
      </c>
      <c r="L177" s="329"/>
      <c r="M177" s="510"/>
      <c r="N177" s="300"/>
      <c r="O177" s="301"/>
      <c r="P177" s="301"/>
      <c r="Q177" s="301"/>
      <c r="R177" s="301"/>
      <c r="S177" s="301"/>
      <c r="T177" s="301"/>
    </row>
    <row r="178" spans="1:20" s="33" customFormat="1" outlineLevel="1" x14ac:dyDescent="0.2">
      <c r="A178" s="491" t="str">
        <f t="shared" ref="A178:A183" si="63">+A160</f>
        <v>Schematic Design</v>
      </c>
      <c r="B178" s="311"/>
      <c r="C178" s="8"/>
      <c r="D178" s="438">
        <v>0.25</v>
      </c>
      <c r="E178" s="392">
        <f>+$D$178*E160</f>
        <v>0</v>
      </c>
      <c r="F178" s="392">
        <f>+$D$95*F171</f>
        <v>0</v>
      </c>
      <c r="G178" s="392">
        <f>+$D$95*G171</f>
        <v>0</v>
      </c>
      <c r="H178" s="392">
        <f>+$D$95*H171</f>
        <v>0</v>
      </c>
      <c r="I178" s="392">
        <f>+$D$95*I171</f>
        <v>0</v>
      </c>
      <c r="J178" s="384">
        <f>SUM(E178:I178)</f>
        <v>0</v>
      </c>
      <c r="K178" s="785" t="str">
        <f>IF(AND($D$182=100%,$C$182&lt;100%),"Notify PM of Premature Payment.","")</f>
        <v/>
      </c>
      <c r="L178" s="786" t="str">
        <f t="shared" ref="K178:M179" si="64">IF(AND($D$182=100%,$C$182&lt;100%),"Notify PM of Premature Payment.","")</f>
        <v/>
      </c>
      <c r="M178" s="787" t="str">
        <f t="shared" si="64"/>
        <v/>
      </c>
      <c r="N178" s="300"/>
      <c r="O178" s="301"/>
      <c r="P178" s="301"/>
      <c r="Q178" s="301"/>
      <c r="R178" s="301"/>
      <c r="S178" s="301"/>
      <c r="T178" s="301"/>
    </row>
    <row r="179" spans="1:20" s="33" customFormat="1" outlineLevel="1" x14ac:dyDescent="0.2">
      <c r="A179" s="491" t="str">
        <f t="shared" si="63"/>
        <v>Design Development</v>
      </c>
      <c r="B179" s="311"/>
      <c r="C179" s="8"/>
      <c r="D179" s="438">
        <v>0</v>
      </c>
      <c r="E179" s="392">
        <f>+$D$179*E161</f>
        <v>0</v>
      </c>
      <c r="F179" s="392">
        <f>+$D$179*F161</f>
        <v>0</v>
      </c>
      <c r="G179" s="392">
        <f>+$D$179*G161</f>
        <v>0</v>
      </c>
      <c r="H179" s="392">
        <f>+$D$179*H161</f>
        <v>0</v>
      </c>
      <c r="I179" s="392">
        <f>+$D$179*I161</f>
        <v>0</v>
      </c>
      <c r="J179" s="384">
        <f t="shared" ref="J179:J190" si="65">SUM(E179:I179)</f>
        <v>0</v>
      </c>
      <c r="K179" s="788" t="str">
        <f t="shared" si="64"/>
        <v/>
      </c>
      <c r="L179" s="789" t="str">
        <f t="shared" si="64"/>
        <v/>
      </c>
      <c r="M179" s="790" t="str">
        <f t="shared" si="64"/>
        <v/>
      </c>
      <c r="N179" s="300"/>
      <c r="O179" s="301"/>
      <c r="P179" s="301"/>
      <c r="Q179" s="301"/>
      <c r="R179" s="301"/>
      <c r="S179" s="301"/>
      <c r="T179" s="301"/>
    </row>
    <row r="180" spans="1:20" s="33" customFormat="1" ht="12" customHeight="1" outlineLevel="1" x14ac:dyDescent="0.2">
      <c r="A180" s="491" t="str">
        <f t="shared" si="63"/>
        <v>Construction Documents</v>
      </c>
      <c r="B180" s="311"/>
      <c r="C180" s="713">
        <f>+L121</f>
        <v>0</v>
      </c>
      <c r="D180" s="438">
        <v>0</v>
      </c>
      <c r="E180" s="392">
        <f>+$D$180*E162</f>
        <v>0</v>
      </c>
      <c r="F180" s="392">
        <f>+$D$180*F162</f>
        <v>0</v>
      </c>
      <c r="G180" s="392">
        <f>+$D$180*G162</f>
        <v>0</v>
      </c>
      <c r="H180" s="392">
        <f>+$D$180*H162</f>
        <v>0</v>
      </c>
      <c r="I180" s="392">
        <f>+$D$180*I162</f>
        <v>0</v>
      </c>
      <c r="J180" s="384">
        <f t="shared" si="65"/>
        <v>0</v>
      </c>
      <c r="K180" s="440"/>
      <c r="L180" s="440"/>
      <c r="M180" s="511"/>
      <c r="N180" s="300"/>
      <c r="O180" s="301"/>
      <c r="P180" s="301"/>
      <c r="Q180" s="301"/>
      <c r="R180" s="301"/>
      <c r="S180" s="301"/>
      <c r="T180" s="301"/>
    </row>
    <row r="181" spans="1:20" s="33" customFormat="1" outlineLevel="1" x14ac:dyDescent="0.2">
      <c r="A181" s="491" t="str">
        <f t="shared" si="63"/>
        <v>Bid/Award</v>
      </c>
      <c r="B181" s="311"/>
      <c r="C181" s="8"/>
      <c r="D181" s="438">
        <v>0</v>
      </c>
      <c r="E181" s="392">
        <f>+$D$181*E163</f>
        <v>0</v>
      </c>
      <c r="F181" s="392">
        <f>+$D$181*F163</f>
        <v>0</v>
      </c>
      <c r="G181" s="392">
        <f>+$D$181*G163</f>
        <v>0</v>
      </c>
      <c r="H181" s="392">
        <f>+$D$181*H163</f>
        <v>0</v>
      </c>
      <c r="I181" s="392">
        <f>+$D$181*I163</f>
        <v>0</v>
      </c>
      <c r="J181" s="384">
        <f t="shared" si="65"/>
        <v>0</v>
      </c>
      <c r="K181" s="440"/>
      <c r="L181" s="440"/>
      <c r="M181" s="511"/>
      <c r="N181" s="300"/>
      <c r="O181" s="301"/>
      <c r="P181" s="301"/>
      <c r="Q181" s="301"/>
      <c r="R181" s="301"/>
      <c r="S181" s="301"/>
      <c r="T181" s="301"/>
    </row>
    <row r="182" spans="1:20" s="33" customFormat="1" outlineLevel="1" x14ac:dyDescent="0.2">
      <c r="A182" s="491" t="str">
        <f t="shared" si="63"/>
        <v>Contract Administration</v>
      </c>
      <c r="B182" s="311"/>
      <c r="C182" s="8"/>
      <c r="D182" s="438">
        <v>0</v>
      </c>
      <c r="E182" s="392">
        <f>+$D$182*E164</f>
        <v>0</v>
      </c>
      <c r="F182" s="392">
        <f>+$D$182*F164</f>
        <v>0</v>
      </c>
      <c r="G182" s="392">
        <f>+$D$182*G164</f>
        <v>0</v>
      </c>
      <c r="H182" s="392">
        <f>+$D$182*H164</f>
        <v>0</v>
      </c>
      <c r="I182" s="392">
        <f>+$D$182*I164</f>
        <v>0</v>
      </c>
      <c r="J182" s="384">
        <f t="shared" si="65"/>
        <v>0</v>
      </c>
      <c r="K182" s="440"/>
      <c r="L182" s="440"/>
      <c r="M182" s="511"/>
      <c r="N182" s="300"/>
      <c r="O182" s="301"/>
      <c r="P182" s="301"/>
      <c r="Q182" s="301"/>
      <c r="R182" s="301"/>
      <c r="S182" s="301"/>
      <c r="T182" s="301"/>
    </row>
    <row r="183" spans="1:20" s="33" customFormat="1" outlineLevel="1" x14ac:dyDescent="0.2">
      <c r="A183" s="491" t="str">
        <f t="shared" si="63"/>
        <v>Record Documents</v>
      </c>
      <c r="B183" s="311"/>
      <c r="C183" s="8"/>
      <c r="D183" s="438">
        <v>0</v>
      </c>
      <c r="E183" s="392">
        <f>+$D$183*E165</f>
        <v>0</v>
      </c>
      <c r="F183" s="392">
        <f>+$D$183*F165</f>
        <v>0</v>
      </c>
      <c r="G183" s="392">
        <f>+$D$183*G165</f>
        <v>0</v>
      </c>
      <c r="H183" s="392">
        <f>+$D$183*H165</f>
        <v>0</v>
      </c>
      <c r="I183" s="392">
        <f>+$D$183*I165</f>
        <v>0</v>
      </c>
      <c r="J183" s="384">
        <f t="shared" si="65"/>
        <v>0</v>
      </c>
      <c r="K183" s="440"/>
      <c r="L183" s="440"/>
      <c r="M183" s="511"/>
      <c r="N183" s="300"/>
      <c r="O183" s="301"/>
      <c r="P183" s="301"/>
      <c r="Q183" s="301"/>
      <c r="R183" s="301"/>
      <c r="S183" s="301"/>
      <c r="T183" s="301"/>
    </row>
    <row r="184" spans="1:20" s="33" customFormat="1" outlineLevel="1" x14ac:dyDescent="0.2">
      <c r="A184" s="491" t="s">
        <v>241</v>
      </c>
      <c r="B184" s="311"/>
      <c r="C184" s="8"/>
      <c r="D184" s="712" t="e">
        <f>+E184/E166</f>
        <v>#DIV/0!</v>
      </c>
      <c r="E184" s="308">
        <f t="shared" ref="E184:J184" si="66">SUM(E178:E183)</f>
        <v>0</v>
      </c>
      <c r="F184" s="308">
        <f t="shared" si="66"/>
        <v>0</v>
      </c>
      <c r="G184" s="308">
        <f t="shared" si="66"/>
        <v>0</v>
      </c>
      <c r="H184" s="308">
        <f t="shared" si="66"/>
        <v>0</v>
      </c>
      <c r="I184" s="308">
        <f t="shared" si="66"/>
        <v>0</v>
      </c>
      <c r="J184" s="384">
        <f t="shared" si="66"/>
        <v>0</v>
      </c>
      <c r="K184" s="440"/>
      <c r="L184" s="440"/>
      <c r="M184" s="511"/>
      <c r="N184" s="300"/>
      <c r="O184" s="301"/>
      <c r="P184" s="301"/>
      <c r="Q184" s="301"/>
      <c r="R184" s="301"/>
      <c r="S184" s="301"/>
      <c r="T184" s="301"/>
    </row>
    <row r="185" spans="1:20" s="33" customFormat="1" outlineLevel="1" x14ac:dyDescent="0.2">
      <c r="A185" s="491" t="str">
        <f>+A167</f>
        <v>Other</v>
      </c>
      <c r="B185" s="311"/>
      <c r="C185" s="8"/>
      <c r="D185" s="438">
        <v>0</v>
      </c>
      <c r="E185" s="392">
        <f>+$D$185*E167</f>
        <v>0</v>
      </c>
      <c r="F185" s="392">
        <f>+$D$185*F167</f>
        <v>0</v>
      </c>
      <c r="G185" s="392">
        <f>+$D$185*G167</f>
        <v>0</v>
      </c>
      <c r="H185" s="392">
        <f>+$D$185*H167</f>
        <v>0</v>
      </c>
      <c r="I185" s="392">
        <f>+$D$185*I167</f>
        <v>0</v>
      </c>
      <c r="J185" s="384">
        <f t="shared" si="65"/>
        <v>0</v>
      </c>
      <c r="K185" s="440"/>
      <c r="L185" s="440"/>
      <c r="M185" s="511"/>
      <c r="N185" s="300"/>
      <c r="O185" s="301"/>
      <c r="P185" s="301"/>
      <c r="Q185" s="301"/>
      <c r="R185" s="301"/>
      <c r="S185" s="301"/>
      <c r="T185" s="301"/>
    </row>
    <row r="186" spans="1:20" s="33" customFormat="1" outlineLevel="1" x14ac:dyDescent="0.2">
      <c r="A186" s="491" t="str">
        <f>+A168</f>
        <v>Other</v>
      </c>
      <c r="B186" s="311"/>
      <c r="C186" s="8"/>
      <c r="D186" s="438">
        <v>0</v>
      </c>
      <c r="E186" s="392">
        <f>+$D$186*E168</f>
        <v>0</v>
      </c>
      <c r="F186" s="392">
        <f>+$D$186*F168</f>
        <v>0</v>
      </c>
      <c r="G186" s="392">
        <f>+$D$186*G168</f>
        <v>0</v>
      </c>
      <c r="H186" s="392">
        <f>+$D$186*H168</f>
        <v>0</v>
      </c>
      <c r="I186" s="392">
        <f>+$D$186*I168</f>
        <v>0</v>
      </c>
      <c r="J186" s="384">
        <f t="shared" si="65"/>
        <v>0</v>
      </c>
      <c r="K186" s="440"/>
      <c r="L186" s="440"/>
      <c r="M186" s="511"/>
      <c r="N186" s="300"/>
      <c r="O186" s="301"/>
      <c r="P186" s="301"/>
      <c r="Q186" s="301"/>
      <c r="R186" s="301"/>
      <c r="S186" s="301"/>
      <c r="T186" s="301"/>
    </row>
    <row r="187" spans="1:20" s="33" customFormat="1" outlineLevel="1" x14ac:dyDescent="0.2">
      <c r="A187" s="491" t="str">
        <f>+A169</f>
        <v>Other</v>
      </c>
      <c r="B187" s="311"/>
      <c r="C187" s="8"/>
      <c r="D187" s="438">
        <v>0</v>
      </c>
      <c r="E187" s="392">
        <f>+$D$187*E169</f>
        <v>0</v>
      </c>
      <c r="F187" s="392">
        <f>+$D$187*F169</f>
        <v>0</v>
      </c>
      <c r="G187" s="392">
        <f>+$D$187*G169</f>
        <v>0</v>
      </c>
      <c r="H187" s="392">
        <f>+$D$187*H169</f>
        <v>0</v>
      </c>
      <c r="I187" s="392">
        <f>+$D$187*I169</f>
        <v>0</v>
      </c>
      <c r="J187" s="384">
        <f t="shared" si="65"/>
        <v>0</v>
      </c>
      <c r="K187" s="440"/>
      <c r="L187" s="440"/>
      <c r="M187" s="511"/>
      <c r="N187" s="300"/>
      <c r="O187" s="301"/>
      <c r="P187" s="301"/>
      <c r="Q187" s="301"/>
      <c r="R187" s="301"/>
      <c r="S187" s="301"/>
      <c r="T187" s="301"/>
    </row>
    <row r="188" spans="1:20" s="33" customFormat="1" outlineLevel="1" x14ac:dyDescent="0.2">
      <c r="A188" s="491" t="s">
        <v>239</v>
      </c>
      <c r="B188" s="311"/>
      <c r="C188" s="8"/>
      <c r="D188" s="710"/>
      <c r="E188" s="308">
        <f t="shared" ref="E188:I188" si="67">SUM(E184:E187)</f>
        <v>0</v>
      </c>
      <c r="F188" s="308">
        <f t="shared" si="67"/>
        <v>0</v>
      </c>
      <c r="G188" s="308">
        <f t="shared" si="67"/>
        <v>0</v>
      </c>
      <c r="H188" s="308">
        <f t="shared" si="67"/>
        <v>0</v>
      </c>
      <c r="I188" s="308">
        <f t="shared" si="67"/>
        <v>0</v>
      </c>
      <c r="J188" s="384">
        <f>SUM(J184:J187)</f>
        <v>0</v>
      </c>
      <c r="K188" s="440"/>
      <c r="L188" s="440"/>
      <c r="M188" s="511"/>
      <c r="N188" s="300"/>
      <c r="O188" s="301"/>
      <c r="P188" s="301"/>
      <c r="Q188" s="301"/>
      <c r="R188" s="301"/>
      <c r="S188" s="301"/>
      <c r="T188" s="301"/>
    </row>
    <row r="189" spans="1:20" s="33" customFormat="1" outlineLevel="1" x14ac:dyDescent="0.2">
      <c r="A189" s="491" t="str">
        <f>+A173</f>
        <v>Architect Fees on Furniture</v>
      </c>
      <c r="B189" s="311"/>
      <c r="C189" s="8"/>
      <c r="D189" s="438">
        <v>0</v>
      </c>
      <c r="E189" s="392">
        <f>+$D$189*E173</f>
        <v>0</v>
      </c>
      <c r="F189" s="392">
        <f>+$D$189*F173</f>
        <v>0</v>
      </c>
      <c r="G189" s="392">
        <f>+$D$189*G173</f>
        <v>0</v>
      </c>
      <c r="H189" s="392">
        <f>+$D$189*H173</f>
        <v>0</v>
      </c>
      <c r="I189" s="392">
        <f>+$D$189*I173</f>
        <v>0</v>
      </c>
      <c r="J189" s="384">
        <f t="shared" si="65"/>
        <v>0</v>
      </c>
      <c r="K189" s="440"/>
      <c r="L189" s="440"/>
      <c r="M189" s="511"/>
      <c r="N189" s="300"/>
      <c r="O189" s="301"/>
      <c r="P189" s="301"/>
      <c r="Q189" s="301"/>
      <c r="R189" s="301"/>
      <c r="S189" s="301"/>
      <c r="T189" s="301"/>
    </row>
    <row r="190" spans="1:20" s="33" customFormat="1" outlineLevel="1" x14ac:dyDescent="0.2">
      <c r="A190" s="491" t="str">
        <f>+A174</f>
        <v>Other</v>
      </c>
      <c r="B190" s="311"/>
      <c r="C190" s="8"/>
      <c r="D190" s="438">
        <v>0</v>
      </c>
      <c r="E190" s="392">
        <f>+$D$190*E174</f>
        <v>0</v>
      </c>
      <c r="F190" s="392">
        <f>+$D$190*F174</f>
        <v>0</v>
      </c>
      <c r="G190" s="392">
        <f>+$D$190*G174</f>
        <v>0</v>
      </c>
      <c r="H190" s="392">
        <f>+$D$190*H174</f>
        <v>0</v>
      </c>
      <c r="I190" s="392">
        <f>+$D$190*I174</f>
        <v>0</v>
      </c>
      <c r="J190" s="384">
        <f t="shared" si="65"/>
        <v>0</v>
      </c>
      <c r="K190" s="440"/>
      <c r="L190" s="440"/>
      <c r="M190" s="511"/>
      <c r="N190" s="300"/>
      <c r="O190" s="301"/>
      <c r="P190" s="301"/>
      <c r="Q190" s="301"/>
      <c r="R190" s="301"/>
      <c r="S190" s="301"/>
      <c r="T190" s="301"/>
    </row>
    <row r="191" spans="1:20" s="33" customFormat="1" outlineLevel="1" x14ac:dyDescent="0.2">
      <c r="A191" s="491" t="str">
        <f>+A175</f>
        <v>Disbursements</v>
      </c>
      <c r="B191" s="311"/>
      <c r="C191" s="548">
        <f>+E175</f>
        <v>0</v>
      </c>
      <c r="D191" s="711" t="e">
        <f>+E191/C191</f>
        <v>#DIV/0!</v>
      </c>
      <c r="E191" s="392">
        <v>0</v>
      </c>
      <c r="F191" s="392">
        <f>IFERROR($D$191*$C$191*(F175/$J$175),0)</f>
        <v>0</v>
      </c>
      <c r="G191" s="392">
        <f>IFERROR($D$191*$C$191*(G175/$J$175),0)</f>
        <v>0</v>
      </c>
      <c r="H191" s="392">
        <f>IFERROR($D$191*$C$191*(H175/$J$175),0)</f>
        <v>0</v>
      </c>
      <c r="I191" s="392">
        <f>IFERROR($D$191*$C$191*(I175/$J$175),0)</f>
        <v>0</v>
      </c>
      <c r="J191" s="384">
        <f>SUM(E191:I191)</f>
        <v>0</v>
      </c>
      <c r="K191" s="440"/>
      <c r="L191" s="440"/>
      <c r="M191" s="511"/>
      <c r="N191" s="300"/>
      <c r="O191" s="301"/>
      <c r="P191" s="301"/>
      <c r="Q191" s="301"/>
      <c r="R191" s="301"/>
      <c r="S191" s="301"/>
      <c r="T191" s="301"/>
    </row>
    <row r="192" spans="1:20" s="33" customFormat="1" outlineLevel="1" x14ac:dyDescent="0.2">
      <c r="A192" s="491" t="s">
        <v>240</v>
      </c>
      <c r="B192" s="311"/>
      <c r="C192" s="8"/>
      <c r="D192" s="439"/>
      <c r="E192" s="308">
        <f t="shared" ref="E192:J192" si="68">SUM(E188:E191)</f>
        <v>0</v>
      </c>
      <c r="F192" s="308">
        <f t="shared" si="68"/>
        <v>0</v>
      </c>
      <c r="G192" s="308">
        <f t="shared" si="68"/>
        <v>0</v>
      </c>
      <c r="H192" s="308">
        <f t="shared" si="68"/>
        <v>0</v>
      </c>
      <c r="I192" s="308">
        <f t="shared" si="68"/>
        <v>0</v>
      </c>
      <c r="J192" s="384">
        <f t="shared" si="68"/>
        <v>0</v>
      </c>
      <c r="K192" s="440"/>
      <c r="L192" s="440"/>
      <c r="M192" s="511"/>
      <c r="N192" s="300"/>
      <c r="O192" s="301"/>
      <c r="P192" s="301"/>
      <c r="Q192" s="301"/>
      <c r="R192" s="301"/>
      <c r="S192" s="301"/>
      <c r="T192" s="301"/>
    </row>
    <row r="193" spans="1:20" s="33" customFormat="1" ht="13.5" outlineLevel="1" thickBot="1" x14ac:dyDescent="0.25">
      <c r="A193" s="512" t="s">
        <v>222</v>
      </c>
      <c r="B193" s="513"/>
      <c r="C193" s="514"/>
      <c r="D193" s="514"/>
      <c r="E193" s="515">
        <f t="shared" ref="E193:J193" si="69">+E192-E239</f>
        <v>0</v>
      </c>
      <c r="F193" s="515">
        <f t="shared" si="69"/>
        <v>0</v>
      </c>
      <c r="G193" s="515">
        <f t="shared" si="69"/>
        <v>0</v>
      </c>
      <c r="H193" s="515">
        <f t="shared" si="69"/>
        <v>0</v>
      </c>
      <c r="I193" s="515">
        <f t="shared" si="69"/>
        <v>0</v>
      </c>
      <c r="J193" s="515">
        <f t="shared" si="69"/>
        <v>0</v>
      </c>
      <c r="K193" s="516"/>
      <c r="L193" s="516"/>
      <c r="M193" s="517"/>
      <c r="N193" s="300"/>
      <c r="O193" s="301"/>
      <c r="P193" s="301"/>
      <c r="Q193" s="301"/>
      <c r="R193" s="301"/>
      <c r="S193" s="301"/>
      <c r="T193" s="301"/>
    </row>
    <row r="194" spans="1:20" s="33" customFormat="1" ht="21.75" customHeight="1" x14ac:dyDescent="0.2"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</row>
    <row r="195" spans="1:20" s="19" customFormat="1" ht="29.25" customHeight="1" x14ac:dyDescent="0.2">
      <c r="A195" s="57" t="s">
        <v>58</v>
      </c>
      <c r="B195" s="57"/>
      <c r="C195" s="57"/>
      <c r="D195" s="57"/>
      <c r="E195" s="76"/>
      <c r="F195" s="76"/>
      <c r="G195" s="76"/>
      <c r="H195" s="76"/>
      <c r="I195" s="76"/>
      <c r="J195" s="766" t="s">
        <v>51</v>
      </c>
      <c r="K195" s="766" t="s">
        <v>43</v>
      </c>
      <c r="L195" s="763" t="s">
        <v>0</v>
      </c>
      <c r="M195" s="763" t="s">
        <v>42</v>
      </c>
      <c r="N195" s="768" t="s">
        <v>88</v>
      </c>
      <c r="O195" s="768"/>
      <c r="P195" s="768"/>
      <c r="Q195" s="768"/>
      <c r="R195" s="769"/>
    </row>
    <row r="196" spans="1:20" s="142" customFormat="1" ht="15.75" customHeight="1" x14ac:dyDescent="0.2">
      <c r="A196" s="278" t="s">
        <v>176</v>
      </c>
      <c r="B196" s="140" t="s">
        <v>69</v>
      </c>
      <c r="C196" s="140" t="s">
        <v>47</v>
      </c>
      <c r="D196" s="141" t="s">
        <v>87</v>
      </c>
      <c r="E196" s="144" t="str">
        <f>+E8</f>
        <v>Split #1/Fund</v>
      </c>
      <c r="F196" s="144" t="str">
        <f>+F8</f>
        <v>Split #2/Fund</v>
      </c>
      <c r="G196" s="144" t="str">
        <f>+G8</f>
        <v>Split #3/Fund</v>
      </c>
      <c r="H196" s="144" t="str">
        <f>+H8</f>
        <v>Split #4/Fund</v>
      </c>
      <c r="I196" s="144" t="str">
        <f>+I8</f>
        <v>Split #5/Fund</v>
      </c>
      <c r="J196" s="767"/>
      <c r="K196" s="767"/>
      <c r="L196" s="764"/>
      <c r="M196" s="764"/>
      <c r="N196" s="243" t="str">
        <f>+E196</f>
        <v>Split #1/Fund</v>
      </c>
      <c r="O196" s="243" t="str">
        <f>+F196</f>
        <v>Split #2/Fund</v>
      </c>
      <c r="P196" s="243" t="str">
        <f>+H196</f>
        <v>Split #4/Fund</v>
      </c>
      <c r="Q196" s="243" t="str">
        <f>+H196</f>
        <v>Split #4/Fund</v>
      </c>
      <c r="R196" s="243" t="str">
        <f>+I196</f>
        <v>Split #5/Fund</v>
      </c>
    </row>
    <row r="197" spans="1:20" s="142" customFormat="1" ht="15.75" customHeight="1" x14ac:dyDescent="0.2">
      <c r="A197" s="599" t="s">
        <v>266</v>
      </c>
      <c r="B197" s="600" t="s">
        <v>267</v>
      </c>
      <c r="C197" s="595"/>
      <c r="D197" s="596"/>
      <c r="E197" s="604">
        <f>+E176+E93+E54-E15</f>
        <v>0</v>
      </c>
      <c r="F197" s="597"/>
      <c r="G197" s="597"/>
      <c r="H197" s="597"/>
      <c r="I197" s="597"/>
      <c r="J197" s="598"/>
      <c r="K197" s="601"/>
      <c r="L197" s="602"/>
      <c r="M197" s="603"/>
      <c r="N197" s="594"/>
      <c r="O197" s="594"/>
      <c r="P197" s="594"/>
      <c r="Q197" s="594"/>
      <c r="R197" s="594"/>
    </row>
    <row r="198" spans="1:20" x14ac:dyDescent="0.2">
      <c r="A198" s="13">
        <v>1</v>
      </c>
      <c r="B198" s="634"/>
      <c r="C198" s="280"/>
      <c r="D198" s="139" t="s">
        <v>132</v>
      </c>
      <c r="E198" s="173"/>
      <c r="F198" s="174"/>
      <c r="G198" s="174"/>
      <c r="H198" s="174"/>
      <c r="I198" s="174"/>
      <c r="J198" s="257">
        <f>SUM(E198:I198)</f>
        <v>0</v>
      </c>
      <c r="K198" s="72">
        <f t="shared" ref="K198:K207" si="70">IF(J198="","",IF($K$6=1,J198*HST,0))</f>
        <v>0</v>
      </c>
      <c r="L198" s="72">
        <f>SUM(J198:K198)</f>
        <v>0</v>
      </c>
      <c r="M198" s="67">
        <f>IF(J198="","",$J198+IF($K$6=1,$J198*HST*(1-V10),0))</f>
        <v>0</v>
      </c>
      <c r="N198" s="72">
        <f t="shared" ref="N198:N207" si="71">$E198+IF($K$6=1,E198*HST*(1-HST_Rebate),0)</f>
        <v>0</v>
      </c>
      <c r="O198" s="72">
        <f t="shared" ref="O198:O207" si="72">$F198+IF($K$6=1,F198*HST*(1-HST_Rebate),0)</f>
        <v>0</v>
      </c>
      <c r="P198" s="72">
        <f t="shared" ref="P198:P207" si="73">$G198+IF($K$6=1,G198*HST*(1-HST_Rebate),0)</f>
        <v>0</v>
      </c>
      <c r="Q198" s="72">
        <f t="shared" ref="Q198:Q207" si="74">$H198+IF($K$6=1,H198*HST*(1-HST_Rebate),0)</f>
        <v>0</v>
      </c>
      <c r="R198" s="233">
        <f t="shared" ref="R198:R207" si="75">$I198+IF($K$6=1,I198*HST*(1-HST_Rebate),0)</f>
        <v>0</v>
      </c>
      <c r="S198" s="63">
        <f t="shared" ref="S198:S208" si="76">SUM(N198:R198)-M198</f>
        <v>0</v>
      </c>
    </row>
    <row r="199" spans="1:20" x14ac:dyDescent="0.2">
      <c r="A199" s="13">
        <v>2</v>
      </c>
      <c r="B199" s="634"/>
      <c r="C199" s="280"/>
      <c r="D199" s="139" t="s">
        <v>132</v>
      </c>
      <c r="E199" s="173"/>
      <c r="F199" s="174"/>
      <c r="G199" s="174"/>
      <c r="H199" s="174"/>
      <c r="I199" s="174"/>
      <c r="J199" s="258">
        <f t="shared" ref="J199:J207" si="77">SUM(E199:I199)</f>
        <v>0</v>
      </c>
      <c r="K199" s="72">
        <f t="shared" si="70"/>
        <v>0</v>
      </c>
      <c r="L199" s="72">
        <f t="shared" ref="L199:L207" si="78">SUM(J199:K199)</f>
        <v>0</v>
      </c>
      <c r="M199" s="67">
        <f>IF(J199="","",$J199+IF($K$6=1,$J199*HST*(1-V10),0))</f>
        <v>0</v>
      </c>
      <c r="N199" s="72">
        <f t="shared" si="71"/>
        <v>0</v>
      </c>
      <c r="O199" s="72">
        <f t="shared" si="72"/>
        <v>0</v>
      </c>
      <c r="P199" s="72">
        <f t="shared" si="73"/>
        <v>0</v>
      </c>
      <c r="Q199" s="72">
        <f t="shared" si="74"/>
        <v>0</v>
      </c>
      <c r="R199" s="233">
        <f t="shared" si="75"/>
        <v>0</v>
      </c>
      <c r="S199" s="63">
        <f t="shared" si="76"/>
        <v>0</v>
      </c>
    </row>
    <row r="200" spans="1:20" x14ac:dyDescent="0.2">
      <c r="A200" s="13">
        <v>3</v>
      </c>
      <c r="B200" s="634"/>
      <c r="C200" s="280"/>
      <c r="D200" s="139" t="s">
        <v>132</v>
      </c>
      <c r="E200" s="173"/>
      <c r="F200" s="174"/>
      <c r="G200" s="174"/>
      <c r="H200" s="174"/>
      <c r="I200" s="174"/>
      <c r="J200" s="258">
        <f t="shared" si="77"/>
        <v>0</v>
      </c>
      <c r="K200" s="72">
        <f t="shared" si="70"/>
        <v>0</v>
      </c>
      <c r="L200" s="72">
        <f t="shared" si="78"/>
        <v>0</v>
      </c>
      <c r="M200" s="67">
        <f>IF(J200="","",$J200+IF($K$6=1,$J200*HST*(1-V10),0))</f>
        <v>0</v>
      </c>
      <c r="N200" s="72">
        <f t="shared" si="71"/>
        <v>0</v>
      </c>
      <c r="O200" s="72">
        <f t="shared" si="72"/>
        <v>0</v>
      </c>
      <c r="P200" s="72">
        <f t="shared" si="73"/>
        <v>0</v>
      </c>
      <c r="Q200" s="72">
        <f t="shared" si="74"/>
        <v>0</v>
      </c>
      <c r="R200" s="233">
        <f t="shared" si="75"/>
        <v>0</v>
      </c>
      <c r="S200" s="63">
        <f t="shared" si="76"/>
        <v>0</v>
      </c>
    </row>
    <row r="201" spans="1:20" x14ac:dyDescent="0.2">
      <c r="A201" s="13">
        <v>4</v>
      </c>
      <c r="B201" s="634"/>
      <c r="C201" s="280"/>
      <c r="D201" s="139" t="s">
        <v>132</v>
      </c>
      <c r="E201" s="173"/>
      <c r="F201" s="174"/>
      <c r="G201" s="174"/>
      <c r="H201" s="174"/>
      <c r="I201" s="174"/>
      <c r="J201" s="258">
        <f t="shared" si="77"/>
        <v>0</v>
      </c>
      <c r="K201" s="72">
        <f t="shared" si="70"/>
        <v>0</v>
      </c>
      <c r="L201" s="72">
        <f t="shared" si="78"/>
        <v>0</v>
      </c>
      <c r="M201" s="67">
        <f>IF(J201="","",$J201+IF($K$6=1,$J201*HST*(1-V10),0))</f>
        <v>0</v>
      </c>
      <c r="N201" s="72">
        <f t="shared" si="71"/>
        <v>0</v>
      </c>
      <c r="O201" s="72">
        <f t="shared" si="72"/>
        <v>0</v>
      </c>
      <c r="P201" s="72">
        <f t="shared" si="73"/>
        <v>0</v>
      </c>
      <c r="Q201" s="72">
        <f t="shared" si="74"/>
        <v>0</v>
      </c>
      <c r="R201" s="233">
        <f t="shared" si="75"/>
        <v>0</v>
      </c>
      <c r="S201" s="63">
        <f t="shared" si="76"/>
        <v>0</v>
      </c>
    </row>
    <row r="202" spans="1:20" x14ac:dyDescent="0.2">
      <c r="A202" s="13">
        <v>5</v>
      </c>
      <c r="B202" s="634"/>
      <c r="C202" s="280"/>
      <c r="D202" s="139" t="s">
        <v>132</v>
      </c>
      <c r="E202" s="173"/>
      <c r="F202" s="174"/>
      <c r="G202" s="174"/>
      <c r="H202" s="174"/>
      <c r="I202" s="174"/>
      <c r="J202" s="258">
        <f t="shared" si="77"/>
        <v>0</v>
      </c>
      <c r="K202" s="72">
        <f t="shared" si="70"/>
        <v>0</v>
      </c>
      <c r="L202" s="72">
        <f t="shared" si="78"/>
        <v>0</v>
      </c>
      <c r="M202" s="67">
        <f>IF(J202="","",$J202+IF($K$6=1,$J202*HST*(1-V10),0))</f>
        <v>0</v>
      </c>
      <c r="N202" s="72">
        <f t="shared" si="71"/>
        <v>0</v>
      </c>
      <c r="O202" s="72">
        <f t="shared" si="72"/>
        <v>0</v>
      </c>
      <c r="P202" s="72">
        <f t="shared" si="73"/>
        <v>0</v>
      </c>
      <c r="Q202" s="72">
        <f t="shared" si="74"/>
        <v>0</v>
      </c>
      <c r="R202" s="233">
        <f t="shared" si="75"/>
        <v>0</v>
      </c>
      <c r="S202" s="63">
        <f t="shared" si="76"/>
        <v>0</v>
      </c>
    </row>
    <row r="203" spans="1:20" x14ac:dyDescent="0.2">
      <c r="A203" s="13">
        <v>6</v>
      </c>
      <c r="B203" s="634"/>
      <c r="C203" s="280"/>
      <c r="D203" s="139" t="s">
        <v>132</v>
      </c>
      <c r="E203" s="173"/>
      <c r="F203" s="174"/>
      <c r="G203" s="174"/>
      <c r="H203" s="174"/>
      <c r="I203" s="174"/>
      <c r="J203" s="258">
        <f t="shared" si="77"/>
        <v>0</v>
      </c>
      <c r="K203" s="72">
        <f t="shared" si="70"/>
        <v>0</v>
      </c>
      <c r="L203" s="72">
        <f t="shared" si="78"/>
        <v>0</v>
      </c>
      <c r="M203" s="67">
        <f>IF(J203="","",$J203+IF($K$6=1,$J203*HST*(1-V10),0))</f>
        <v>0</v>
      </c>
      <c r="N203" s="72">
        <f t="shared" si="71"/>
        <v>0</v>
      </c>
      <c r="O203" s="72">
        <f t="shared" si="72"/>
        <v>0</v>
      </c>
      <c r="P203" s="72">
        <f t="shared" si="73"/>
        <v>0</v>
      </c>
      <c r="Q203" s="72">
        <f t="shared" si="74"/>
        <v>0</v>
      </c>
      <c r="R203" s="233">
        <f t="shared" si="75"/>
        <v>0</v>
      </c>
      <c r="S203" s="63">
        <f t="shared" si="76"/>
        <v>0</v>
      </c>
    </row>
    <row r="204" spans="1:20" ht="12" customHeight="1" x14ac:dyDescent="0.2">
      <c r="A204" s="13">
        <v>7</v>
      </c>
      <c r="B204" s="634"/>
      <c r="C204" s="280"/>
      <c r="D204" s="139" t="s">
        <v>132</v>
      </c>
      <c r="E204" s="173"/>
      <c r="F204" s="174"/>
      <c r="G204" s="174"/>
      <c r="H204" s="174"/>
      <c r="I204" s="174"/>
      <c r="J204" s="258">
        <f t="shared" si="77"/>
        <v>0</v>
      </c>
      <c r="K204" s="72">
        <f t="shared" si="70"/>
        <v>0</v>
      </c>
      <c r="L204" s="72">
        <f t="shared" si="78"/>
        <v>0</v>
      </c>
      <c r="M204" s="67">
        <f>IF(J204="","",$J204+IF($K$6=1,$J204*HST*(1-V10),0))</f>
        <v>0</v>
      </c>
      <c r="N204" s="72">
        <f t="shared" si="71"/>
        <v>0</v>
      </c>
      <c r="O204" s="72">
        <f t="shared" si="72"/>
        <v>0</v>
      </c>
      <c r="P204" s="72">
        <f t="shared" si="73"/>
        <v>0</v>
      </c>
      <c r="Q204" s="72">
        <f t="shared" si="74"/>
        <v>0</v>
      </c>
      <c r="R204" s="233">
        <f t="shared" si="75"/>
        <v>0</v>
      </c>
      <c r="S204" s="63">
        <f t="shared" si="76"/>
        <v>0</v>
      </c>
    </row>
    <row r="205" spans="1:20" x14ac:dyDescent="0.2">
      <c r="A205" s="13">
        <v>8</v>
      </c>
      <c r="B205" s="634"/>
      <c r="C205" s="280"/>
      <c r="D205" s="139" t="s">
        <v>132</v>
      </c>
      <c r="E205" s="173"/>
      <c r="F205" s="174"/>
      <c r="G205" s="174"/>
      <c r="H205" s="174"/>
      <c r="I205" s="174"/>
      <c r="J205" s="258">
        <f t="shared" si="77"/>
        <v>0</v>
      </c>
      <c r="K205" s="72">
        <f t="shared" si="70"/>
        <v>0</v>
      </c>
      <c r="L205" s="72">
        <f t="shared" si="78"/>
        <v>0</v>
      </c>
      <c r="M205" s="67">
        <f>IF(J205="","",$J205+IF($K$6=1,$J205*HST*(1-V10),0))</f>
        <v>0</v>
      </c>
      <c r="N205" s="72">
        <f t="shared" si="71"/>
        <v>0</v>
      </c>
      <c r="O205" s="72">
        <f t="shared" si="72"/>
        <v>0</v>
      </c>
      <c r="P205" s="72">
        <f t="shared" si="73"/>
        <v>0</v>
      </c>
      <c r="Q205" s="72">
        <f t="shared" si="74"/>
        <v>0</v>
      </c>
      <c r="R205" s="233">
        <f t="shared" si="75"/>
        <v>0</v>
      </c>
      <c r="S205" s="63">
        <f t="shared" si="76"/>
        <v>0</v>
      </c>
    </row>
    <row r="206" spans="1:20" x14ac:dyDescent="0.2">
      <c r="A206" s="13">
        <v>9</v>
      </c>
      <c r="B206" s="634"/>
      <c r="C206" s="280"/>
      <c r="D206" s="139" t="s">
        <v>132</v>
      </c>
      <c r="E206" s="173"/>
      <c r="F206" s="174"/>
      <c r="G206" s="174"/>
      <c r="H206" s="174"/>
      <c r="I206" s="174"/>
      <c r="J206" s="258">
        <f t="shared" si="77"/>
        <v>0</v>
      </c>
      <c r="K206" s="72">
        <f t="shared" si="70"/>
        <v>0</v>
      </c>
      <c r="L206" s="72">
        <f t="shared" si="78"/>
        <v>0</v>
      </c>
      <c r="M206" s="67">
        <f>IF(J206="","",$J206+IF($K$6=1,$J206*HST*(1-V10),0))</f>
        <v>0</v>
      </c>
      <c r="N206" s="72">
        <f t="shared" si="71"/>
        <v>0</v>
      </c>
      <c r="O206" s="72">
        <f t="shared" si="72"/>
        <v>0</v>
      </c>
      <c r="P206" s="72">
        <f t="shared" si="73"/>
        <v>0</v>
      </c>
      <c r="Q206" s="72">
        <f t="shared" si="74"/>
        <v>0</v>
      </c>
      <c r="R206" s="233">
        <f t="shared" si="75"/>
        <v>0</v>
      </c>
      <c r="S206" s="63">
        <f t="shared" si="76"/>
        <v>0</v>
      </c>
    </row>
    <row r="207" spans="1:20" x14ac:dyDescent="0.2">
      <c r="A207" s="13">
        <v>10</v>
      </c>
      <c r="B207" s="635"/>
      <c r="C207" s="281"/>
      <c r="D207" s="139" t="s">
        <v>132</v>
      </c>
      <c r="E207" s="252"/>
      <c r="F207" s="253"/>
      <c r="G207" s="253"/>
      <c r="H207" s="253"/>
      <c r="I207" s="253"/>
      <c r="J207" s="259">
        <f t="shared" si="77"/>
        <v>0</v>
      </c>
      <c r="K207" s="260">
        <f t="shared" si="70"/>
        <v>0</v>
      </c>
      <c r="L207" s="260">
        <f t="shared" si="78"/>
        <v>0</v>
      </c>
      <c r="M207" s="111">
        <f>IF(J207="","",$J207+IF($K$6=1,$J207*HST*(1-V10),0))</f>
        <v>0</v>
      </c>
      <c r="N207" s="72">
        <f t="shared" si="71"/>
        <v>0</v>
      </c>
      <c r="O207" s="72">
        <f t="shared" si="72"/>
        <v>0</v>
      </c>
      <c r="P207" s="72">
        <f t="shared" si="73"/>
        <v>0</v>
      </c>
      <c r="Q207" s="72">
        <f t="shared" si="74"/>
        <v>0</v>
      </c>
      <c r="R207" s="233">
        <f t="shared" si="75"/>
        <v>0</v>
      </c>
      <c r="S207" s="63">
        <f t="shared" si="76"/>
        <v>0</v>
      </c>
    </row>
    <row r="208" spans="1:20" x14ac:dyDescent="0.2">
      <c r="A208" s="5" t="s">
        <v>0</v>
      </c>
      <c r="B208" s="45"/>
      <c r="C208" s="51"/>
      <c r="D208" s="256"/>
      <c r="E208" s="254">
        <f t="shared" ref="E208:R208" si="79">SUM(E198:E207)</f>
        <v>0</v>
      </c>
      <c r="F208" s="254">
        <f t="shared" si="79"/>
        <v>0</v>
      </c>
      <c r="G208" s="254">
        <f t="shared" si="79"/>
        <v>0</v>
      </c>
      <c r="H208" s="254">
        <f t="shared" si="79"/>
        <v>0</v>
      </c>
      <c r="I208" s="255">
        <f t="shared" si="79"/>
        <v>0</v>
      </c>
      <c r="J208" s="159">
        <f t="shared" si="79"/>
        <v>0</v>
      </c>
      <c r="K208" s="68">
        <f>SUM(K198:K207)</f>
        <v>0</v>
      </c>
      <c r="L208" s="68">
        <f t="shared" si="79"/>
        <v>0</v>
      </c>
      <c r="M208" s="68">
        <f t="shared" si="79"/>
        <v>0</v>
      </c>
      <c r="N208" s="251">
        <f t="shared" si="79"/>
        <v>0</v>
      </c>
      <c r="O208" s="251">
        <f t="shared" si="79"/>
        <v>0</v>
      </c>
      <c r="P208" s="251">
        <f t="shared" si="79"/>
        <v>0</v>
      </c>
      <c r="Q208" s="251">
        <f t="shared" si="79"/>
        <v>0</v>
      </c>
      <c r="R208" s="251">
        <f t="shared" si="79"/>
        <v>0</v>
      </c>
      <c r="S208" s="63">
        <f t="shared" si="76"/>
        <v>0</v>
      </c>
    </row>
    <row r="209" spans="1:20" x14ac:dyDescent="0.2">
      <c r="A209" s="5"/>
      <c r="B209" s="45"/>
      <c r="C209" s="51"/>
      <c r="D209" s="51"/>
      <c r="E209" s="275"/>
      <c r="F209" s="275"/>
      <c r="G209" s="275"/>
      <c r="H209" s="275"/>
      <c r="I209" s="583"/>
      <c r="J209" s="159"/>
      <c r="K209" s="68"/>
      <c r="L209" s="68"/>
      <c r="M209" s="68"/>
      <c r="N209" s="251"/>
      <c r="O209" s="251"/>
      <c r="P209" s="251"/>
      <c r="Q209" s="251"/>
      <c r="R209" s="251"/>
      <c r="S209" s="63"/>
    </row>
    <row r="210" spans="1:20" x14ac:dyDescent="0.2">
      <c r="A210" s="5"/>
      <c r="B210" s="572" t="str">
        <f>+Company!B44</f>
        <v>Change Order Limit (Exception Form requirements)</v>
      </c>
      <c r="C210" s="585"/>
      <c r="D210" s="572"/>
      <c r="E210" s="572"/>
      <c r="F210" s="572"/>
      <c r="G210" s="275"/>
      <c r="H210" s="275"/>
      <c r="I210" s="583"/>
      <c r="J210" s="159"/>
      <c r="K210" s="68"/>
      <c r="L210" s="68"/>
      <c r="M210" s="68"/>
      <c r="N210" s="251"/>
      <c r="O210" s="251"/>
      <c r="P210" s="251"/>
      <c r="Q210" s="251"/>
      <c r="R210" s="251"/>
      <c r="S210" s="63"/>
    </row>
    <row r="211" spans="1:20" x14ac:dyDescent="0.2">
      <c r="A211" s="5"/>
      <c r="B211" s="586"/>
      <c r="C211" s="587"/>
      <c r="D211" s="587"/>
      <c r="E211" s="573" t="str">
        <f>+Company!D45</f>
        <v>Limit</v>
      </c>
      <c r="F211" s="573" t="str">
        <f>+Company!E45</f>
        <v>Balance</v>
      </c>
      <c r="G211" s="275"/>
      <c r="H211" s="275"/>
      <c r="I211" s="583"/>
      <c r="J211" s="159"/>
      <c r="K211" s="68"/>
      <c r="L211" s="68"/>
      <c r="M211" s="68"/>
      <c r="N211" s="251"/>
      <c r="O211" s="251"/>
      <c r="P211" s="251"/>
      <c r="Q211" s="251"/>
      <c r="R211" s="251"/>
      <c r="S211" s="63"/>
    </row>
    <row r="212" spans="1:20" x14ac:dyDescent="0.2">
      <c r="A212" s="5"/>
      <c r="B212" s="592" t="str">
        <f>+Company!B46</f>
        <v>Original Contract</v>
      </c>
      <c r="C212" s="275">
        <f>+J10</f>
        <v>0</v>
      </c>
      <c r="E212" s="275"/>
      <c r="F212" s="275"/>
      <c r="G212" s="275"/>
      <c r="H212" s="275"/>
      <c r="I212" s="583"/>
      <c r="J212" s="159"/>
      <c r="K212" s="68"/>
      <c r="L212" s="68"/>
      <c r="M212" s="68"/>
      <c r="N212" s="251"/>
      <c r="O212" s="251"/>
      <c r="P212" s="251"/>
      <c r="Q212" s="251"/>
      <c r="R212" s="251"/>
      <c r="S212" s="63"/>
    </row>
    <row r="213" spans="1:20" x14ac:dyDescent="0.2">
      <c r="A213" s="5"/>
      <c r="B213" s="592" t="str">
        <f>+Company!B47</f>
        <v>Change orders (note 1)</v>
      </c>
      <c r="C213" s="275">
        <f>+J208</f>
        <v>0</v>
      </c>
      <c r="E213" s="275"/>
      <c r="F213" s="275"/>
      <c r="G213" s="275"/>
      <c r="H213" s="275"/>
      <c r="I213" s="583"/>
      <c r="J213" s="159"/>
      <c r="K213" s="68"/>
      <c r="L213" s="68"/>
      <c r="M213" s="68"/>
      <c r="N213" s="251"/>
      <c r="O213" s="251"/>
      <c r="P213" s="251"/>
      <c r="Q213" s="251"/>
      <c r="R213" s="251"/>
      <c r="S213" s="63"/>
    </row>
    <row r="214" spans="1:20" x14ac:dyDescent="0.2">
      <c r="A214" s="5"/>
      <c r="B214" s="592" t="str">
        <f>+Company!B48</f>
        <v>Execption form no. 1 (actual + future)</v>
      </c>
      <c r="C214" s="588"/>
      <c r="E214" s="275"/>
      <c r="F214" s="275"/>
      <c r="G214" s="275"/>
      <c r="H214" s="275"/>
      <c r="I214" s="583"/>
      <c r="J214" s="159"/>
      <c r="K214" s="68"/>
      <c r="L214" s="68"/>
      <c r="M214" s="68"/>
      <c r="N214" s="251"/>
      <c r="O214" s="251"/>
      <c r="P214" s="251"/>
      <c r="Q214" s="251"/>
      <c r="R214" s="251"/>
      <c r="S214" s="63"/>
    </row>
    <row r="215" spans="1:20" x14ac:dyDescent="0.2">
      <c r="A215" s="5"/>
      <c r="B215" s="592" t="str">
        <f>+Company!B49</f>
        <v>Execption form no. 2 (actual + future)</v>
      </c>
      <c r="C215" s="588"/>
      <c r="E215" s="275"/>
      <c r="F215" s="275"/>
      <c r="G215" s="275"/>
      <c r="H215" s="275"/>
      <c r="I215" s="583"/>
      <c r="J215" s="159"/>
      <c r="K215" s="68"/>
      <c r="L215" s="68"/>
      <c r="M215" s="68"/>
      <c r="N215" s="251"/>
      <c r="O215" s="251"/>
      <c r="P215" s="251"/>
      <c r="Q215" s="251"/>
      <c r="R215" s="251"/>
      <c r="S215" s="63"/>
    </row>
    <row r="216" spans="1:20" x14ac:dyDescent="0.2">
      <c r="A216" s="5"/>
      <c r="B216" s="584"/>
      <c r="C216" s="589"/>
      <c r="D216" s="275">
        <f>+C212*20%+(+C214*1.2)+(+C215*1.2)</f>
        <v>0</v>
      </c>
      <c r="E216" s="590">
        <f>+D216-C214</f>
        <v>0</v>
      </c>
      <c r="F216" s="54"/>
      <c r="G216" s="275"/>
      <c r="H216" s="275"/>
      <c r="I216" s="583"/>
      <c r="J216" s="159"/>
      <c r="K216" s="68"/>
      <c r="L216" s="68"/>
      <c r="M216" s="68"/>
      <c r="N216" s="251"/>
      <c r="O216" s="251"/>
      <c r="P216" s="251"/>
      <c r="Q216" s="251"/>
      <c r="R216" s="251"/>
      <c r="S216" s="63"/>
    </row>
    <row r="217" spans="1:20" x14ac:dyDescent="0.2">
      <c r="A217" s="5"/>
      <c r="B217" s="584"/>
      <c r="C217" s="589"/>
      <c r="D217" s="589"/>
      <c r="E217" s="591" t="s">
        <v>263</v>
      </c>
      <c r="F217" s="54"/>
      <c r="G217" s="275"/>
      <c r="H217" s="275"/>
      <c r="I217" s="583"/>
      <c r="J217" s="159"/>
      <c r="K217" s="68"/>
      <c r="L217" s="68"/>
      <c r="M217" s="68"/>
      <c r="N217" s="251"/>
      <c r="O217" s="251"/>
      <c r="P217" s="251"/>
      <c r="Q217" s="251"/>
      <c r="R217" s="251"/>
      <c r="S217" s="63"/>
    </row>
    <row r="218" spans="1:20" x14ac:dyDescent="0.2">
      <c r="A218" s="6"/>
      <c r="B218" s="4"/>
      <c r="C218" s="4"/>
      <c r="D218" s="4"/>
      <c r="E218" s="74"/>
      <c r="F218" s="74"/>
      <c r="G218" s="74"/>
      <c r="H218" s="74"/>
      <c r="I218" s="75"/>
      <c r="J218" s="162"/>
      <c r="K218" s="74"/>
      <c r="L218" s="74"/>
      <c r="M218" s="74"/>
      <c r="N218" s="78"/>
      <c r="O218" s="78"/>
      <c r="P218" s="78"/>
      <c r="Q218" s="78"/>
      <c r="R218" s="78"/>
    </row>
    <row r="219" spans="1:20" ht="21.75" customHeight="1" x14ac:dyDescent="0.2">
      <c r="E219" s="61"/>
      <c r="F219" s="61"/>
      <c r="G219" s="61"/>
      <c r="H219" s="61"/>
      <c r="I219" s="61"/>
      <c r="J219" s="61"/>
      <c r="K219" s="61"/>
      <c r="L219" s="61"/>
      <c r="M219" s="61"/>
      <c r="N219" s="61"/>
      <c r="O219" s="61"/>
      <c r="P219" s="61"/>
      <c r="Q219" s="61"/>
      <c r="R219" s="61"/>
      <c r="S219" s="61"/>
    </row>
    <row r="220" spans="1:20" s="19" customFormat="1" ht="19.5" hidden="1" customHeight="1" outlineLevel="1" x14ac:dyDescent="0.2">
      <c r="A220" s="797" t="s">
        <v>63</v>
      </c>
      <c r="B220" s="797"/>
      <c r="C220" s="797"/>
      <c r="D220" s="797"/>
      <c r="E220" s="85"/>
      <c r="F220" s="85"/>
      <c r="G220" s="85"/>
      <c r="H220" s="85"/>
      <c r="I220" s="85"/>
      <c r="J220" s="80"/>
      <c r="K220" s="80"/>
      <c r="L220" s="80"/>
      <c r="M220" s="80"/>
      <c r="N220" s="80"/>
      <c r="O220" s="61"/>
      <c r="P220" s="61"/>
      <c r="Q220" s="61"/>
      <c r="R220" s="61"/>
      <c r="S220" s="61"/>
      <c r="T220" s="50"/>
    </row>
    <row r="221" spans="1:20" hidden="1" outlineLevel="1" x14ac:dyDescent="0.2">
      <c r="A221" s="86"/>
      <c r="B221" s="87"/>
      <c r="C221" s="87"/>
      <c r="D221" s="87"/>
      <c r="E221" s="88"/>
      <c r="F221" s="88"/>
      <c r="G221" s="88"/>
      <c r="H221" s="88"/>
      <c r="I221" s="88"/>
      <c r="J221" s="70"/>
      <c r="K221" s="70"/>
      <c r="L221" s="70"/>
      <c r="M221" s="70"/>
      <c r="N221" s="71"/>
      <c r="O221" s="61"/>
      <c r="P221" s="61"/>
      <c r="Q221" s="61"/>
      <c r="R221" s="61"/>
      <c r="S221" s="61"/>
    </row>
    <row r="222" spans="1:20" hidden="1" outlineLevel="1" x14ac:dyDescent="0.2">
      <c r="A222" s="89" t="s">
        <v>4</v>
      </c>
      <c r="B222" s="90"/>
      <c r="C222" s="87"/>
      <c r="D222" s="91">
        <f>J12+J13</f>
        <v>0</v>
      </c>
      <c r="E222" s="92"/>
      <c r="F222" s="92"/>
      <c r="G222" s="92"/>
      <c r="H222" s="92"/>
      <c r="I222" s="92"/>
      <c r="J222" s="70"/>
      <c r="K222" s="70"/>
      <c r="L222" s="70"/>
      <c r="M222" s="70"/>
      <c r="N222" s="71"/>
      <c r="O222" s="61"/>
      <c r="P222" s="61"/>
      <c r="Q222" s="61"/>
      <c r="R222" s="61"/>
      <c r="S222" s="61"/>
    </row>
    <row r="223" spans="1:20" hidden="1" outlineLevel="1" x14ac:dyDescent="0.2">
      <c r="A223" s="89" t="s">
        <v>3</v>
      </c>
      <c r="B223" s="90"/>
      <c r="C223" s="93" t="s">
        <v>2</v>
      </c>
      <c r="D223" s="94">
        <v>50000</v>
      </c>
      <c r="E223" s="95"/>
      <c r="F223" s="95"/>
      <c r="G223" s="95"/>
      <c r="H223" s="95"/>
      <c r="I223" s="95"/>
      <c r="J223" s="70"/>
      <c r="K223" s="777" t="str">
        <f>IF(D222&lt;D223,"Under limit, no amount held","Threshold passed, 10% held")</f>
        <v>Under limit, no amount held</v>
      </c>
      <c r="L223" s="777"/>
      <c r="M223" s="777"/>
      <c r="N223" s="71"/>
      <c r="O223" s="61"/>
      <c r="P223" s="61"/>
      <c r="Q223" s="61"/>
      <c r="R223" s="61"/>
      <c r="S223" s="61"/>
    </row>
    <row r="224" spans="1:20" hidden="1" outlineLevel="1" x14ac:dyDescent="0.2">
      <c r="A224" s="89" t="s">
        <v>5</v>
      </c>
      <c r="B224" s="90"/>
      <c r="C224" s="87"/>
      <c r="D224" s="99">
        <f>+D20</f>
        <v>0</v>
      </c>
      <c r="E224" s="96"/>
      <c r="F224" s="96"/>
      <c r="G224" s="96"/>
      <c r="H224" s="96"/>
      <c r="I224" s="96"/>
      <c r="J224" s="70"/>
      <c r="K224" s="70"/>
      <c r="L224" s="70"/>
      <c r="M224" s="70"/>
      <c r="N224" s="71"/>
      <c r="O224" s="61"/>
      <c r="P224" s="61"/>
      <c r="Q224" s="61"/>
      <c r="R224" s="61"/>
      <c r="S224" s="61"/>
    </row>
    <row r="225" spans="1:20" hidden="1" outlineLevel="1" x14ac:dyDescent="0.2">
      <c r="A225" s="97"/>
      <c r="B225" s="98"/>
      <c r="C225" s="87"/>
      <c r="D225" s="87"/>
      <c r="E225" s="88"/>
      <c r="F225" s="88"/>
      <c r="G225" s="88"/>
      <c r="H225" s="88"/>
      <c r="I225" s="88"/>
      <c r="J225" s="81"/>
      <c r="K225" s="70"/>
      <c r="L225" s="70"/>
      <c r="M225" s="70"/>
      <c r="N225" s="71"/>
      <c r="O225" s="61"/>
      <c r="P225" s="61"/>
      <c r="Q225" s="61"/>
      <c r="R225" s="61"/>
      <c r="S225" s="61"/>
    </row>
    <row r="226" spans="1:20" ht="13.5" hidden="1" outlineLevel="1" thickBot="1" x14ac:dyDescent="0.25">
      <c r="A226" s="7" t="s">
        <v>6</v>
      </c>
      <c r="B226" s="8"/>
      <c r="C226" s="51"/>
      <c r="D226" s="15">
        <f>J19</f>
        <v>0</v>
      </c>
      <c r="E226" s="67"/>
      <c r="F226" s="67"/>
      <c r="G226" s="67"/>
      <c r="H226" s="67"/>
      <c r="I226" s="67"/>
      <c r="J226" s="70"/>
      <c r="K226" s="70"/>
      <c r="L226" s="70"/>
      <c r="M226" s="70"/>
      <c r="N226" s="71"/>
      <c r="O226" s="61"/>
      <c r="P226" s="61"/>
      <c r="Q226" s="61"/>
      <c r="R226" s="61"/>
      <c r="S226" s="61"/>
    </row>
    <row r="227" spans="1:20" hidden="1" outlineLevel="1" x14ac:dyDescent="0.2">
      <c r="A227" s="5" t="s">
        <v>7</v>
      </c>
      <c r="B227" s="45"/>
      <c r="C227" s="51"/>
      <c r="D227" s="14">
        <f>IF(D222&gt;=D223,D224*D226,0)</f>
        <v>0</v>
      </c>
      <c r="E227" s="68"/>
      <c r="F227" s="68"/>
      <c r="G227" s="68"/>
      <c r="H227" s="68"/>
      <c r="I227" s="68"/>
      <c r="J227" s="70"/>
      <c r="K227" s="70"/>
      <c r="L227" s="70"/>
      <c r="M227" s="70"/>
      <c r="N227" s="71"/>
      <c r="O227" s="84"/>
      <c r="P227" s="61"/>
      <c r="Q227" s="61"/>
      <c r="R227" s="61"/>
      <c r="S227" s="61"/>
    </row>
    <row r="228" spans="1:20" hidden="1" outlineLevel="1" x14ac:dyDescent="0.2">
      <c r="A228" s="6"/>
      <c r="B228" s="4"/>
      <c r="C228" s="4"/>
      <c r="D228" s="4"/>
      <c r="E228" s="74"/>
      <c r="F228" s="74"/>
      <c r="G228" s="74"/>
      <c r="H228" s="74"/>
      <c r="I228" s="74"/>
      <c r="J228" s="74"/>
      <c r="K228" s="74"/>
      <c r="L228" s="74"/>
      <c r="M228" s="74"/>
      <c r="N228" s="75"/>
      <c r="O228" s="84"/>
      <c r="P228" s="61"/>
      <c r="Q228" s="61"/>
      <c r="R228" s="61"/>
      <c r="S228" s="61"/>
    </row>
    <row r="229" spans="1:20" ht="21.75" customHeight="1" collapsed="1" x14ac:dyDescent="0.2">
      <c r="E229" s="61"/>
      <c r="F229" s="61"/>
      <c r="G229" s="61"/>
      <c r="H229" s="61"/>
      <c r="I229" s="61"/>
      <c r="J229" s="61"/>
      <c r="K229" s="61"/>
      <c r="L229" s="61"/>
      <c r="M229" s="61"/>
      <c r="N229" s="61"/>
      <c r="O229" s="84"/>
      <c r="P229" s="61"/>
      <c r="Q229" s="82"/>
      <c r="R229" s="82"/>
      <c r="S229" s="82"/>
      <c r="T229" s="19"/>
    </row>
    <row r="230" spans="1:20" s="19" customFormat="1" ht="35.25" customHeight="1" x14ac:dyDescent="0.2">
      <c r="A230" s="778" t="s">
        <v>62</v>
      </c>
      <c r="B230" s="779"/>
      <c r="C230" s="779"/>
      <c r="D230" s="779"/>
      <c r="E230" s="276"/>
      <c r="F230" s="276"/>
      <c r="G230" s="276"/>
      <c r="H230" s="276"/>
      <c r="I230" s="276"/>
      <c r="J230" s="766" t="s">
        <v>51</v>
      </c>
      <c r="K230" s="766" t="s">
        <v>43</v>
      </c>
      <c r="L230" s="763" t="s">
        <v>0</v>
      </c>
      <c r="M230" s="763" t="s">
        <v>42</v>
      </c>
      <c r="N230" s="770" t="s">
        <v>90</v>
      </c>
      <c r="O230" s="770"/>
      <c r="P230" s="770"/>
      <c r="Q230" s="770"/>
      <c r="R230" s="771"/>
    </row>
    <row r="231" spans="1:20" ht="17.25" customHeight="1" x14ac:dyDescent="0.2">
      <c r="A231" s="278" t="s">
        <v>177</v>
      </c>
      <c r="B231" s="46" t="s">
        <v>9</v>
      </c>
      <c r="C231" s="46" t="s">
        <v>49</v>
      </c>
      <c r="D231" s="46" t="s">
        <v>48</v>
      </c>
      <c r="E231" s="277" t="str">
        <f>+E196</f>
        <v>Split #1/Fund</v>
      </c>
      <c r="F231" s="277" t="str">
        <f>+F196</f>
        <v>Split #2/Fund</v>
      </c>
      <c r="G231" s="277" t="str">
        <f>+G196</f>
        <v>Split #3/Fund</v>
      </c>
      <c r="H231" s="277" t="str">
        <f>+H196</f>
        <v>Split #4/Fund</v>
      </c>
      <c r="I231" s="277" t="str">
        <f>+I196</f>
        <v>Split #5/Fund</v>
      </c>
      <c r="J231" s="767"/>
      <c r="K231" s="767"/>
      <c r="L231" s="764"/>
      <c r="M231" s="764"/>
      <c r="N231" s="77">
        <f>+N156</f>
        <v>0</v>
      </c>
      <c r="O231" s="77">
        <f>+O156</f>
        <v>0</v>
      </c>
      <c r="P231" s="77">
        <f>+P156</f>
        <v>0</v>
      </c>
      <c r="Q231" s="77">
        <f>+Q156</f>
        <v>0</v>
      </c>
      <c r="R231" s="77">
        <f>+R156</f>
        <v>0</v>
      </c>
      <c r="S231" s="63"/>
    </row>
    <row r="232" spans="1:20" x14ac:dyDescent="0.2">
      <c r="A232" s="279">
        <v>1</v>
      </c>
      <c r="B232" s="704"/>
      <c r="C232" s="282"/>
      <c r="D232" s="634"/>
      <c r="E232" s="271"/>
      <c r="F232" s="271"/>
      <c r="G232" s="271"/>
      <c r="H232" s="271"/>
      <c r="I232" s="271"/>
      <c r="J232" s="161">
        <f>SUM(E232:I232)</f>
        <v>0</v>
      </c>
      <c r="K232" s="72">
        <f t="shared" ref="K232:K238" si="80">IF(J232="","",IF($K$6=1,J232*HST,0))</f>
        <v>0</v>
      </c>
      <c r="L232" s="72">
        <f t="shared" ref="L232:L238" si="81">SUM(J232:K232)</f>
        <v>0</v>
      </c>
      <c r="M232" s="247">
        <f>$J232+$J232*HST*(1-V10)</f>
        <v>0</v>
      </c>
      <c r="N232" s="72">
        <f t="shared" ref="N232:N238" si="82">$E232+IF($K$6=1,E232*HST*(1-HST_Rebate),0)</f>
        <v>0</v>
      </c>
      <c r="O232" s="72">
        <f t="shared" ref="O232:O238" si="83">$F232+IF($K$6=1,F232*HST*(1-HST_Rebate),0)</f>
        <v>0</v>
      </c>
      <c r="P232" s="72">
        <f t="shared" ref="P232:P238" si="84">$G232+IF($K$6=1,G232*HST*(1-HST_Rebate),0)</f>
        <v>0</v>
      </c>
      <c r="Q232" s="72">
        <f t="shared" ref="Q232:Q238" si="85">$H232+IF($K$6=1,H232*HST*(1-HST_Rebate),0)</f>
        <v>0</v>
      </c>
      <c r="R232" s="233">
        <f t="shared" ref="R232:R238" si="86">$I232+IF($K$6=1,I232*HST*(1-HST_Rebate),0)</f>
        <v>0</v>
      </c>
      <c r="S232" s="63">
        <f>SUM(N232:R232)-M232</f>
        <v>0</v>
      </c>
    </row>
    <row r="233" spans="1:20" x14ac:dyDescent="0.2">
      <c r="A233" s="279">
        <v>2</v>
      </c>
      <c r="B233" s="283"/>
      <c r="C233" s="64"/>
      <c r="D233" s="634"/>
      <c r="E233" s="272"/>
      <c r="F233" s="272"/>
      <c r="G233" s="272"/>
      <c r="H233" s="272"/>
      <c r="I233" s="272"/>
      <c r="J233" s="161">
        <f t="shared" ref="J233:J238" si="87">SUM(E233:I233)</f>
        <v>0</v>
      </c>
      <c r="K233" s="72">
        <f t="shared" si="80"/>
        <v>0</v>
      </c>
      <c r="L233" s="72">
        <f>SUM(J233:K233)</f>
        <v>0</v>
      </c>
      <c r="M233" s="247">
        <f>$J233+$J233*HST*(1-V10)</f>
        <v>0</v>
      </c>
      <c r="N233" s="72">
        <f t="shared" si="82"/>
        <v>0</v>
      </c>
      <c r="O233" s="72">
        <f t="shared" si="83"/>
        <v>0</v>
      </c>
      <c r="P233" s="72">
        <f t="shared" si="84"/>
        <v>0</v>
      </c>
      <c r="Q233" s="72">
        <f t="shared" si="85"/>
        <v>0</v>
      </c>
      <c r="R233" s="233">
        <f t="shared" si="86"/>
        <v>0</v>
      </c>
      <c r="S233" s="63">
        <f t="shared" ref="S233:S239" si="88">SUM(N233:R233)-M233</f>
        <v>0</v>
      </c>
    </row>
    <row r="234" spans="1:20" x14ac:dyDescent="0.2">
      <c r="A234" s="279">
        <v>3</v>
      </c>
      <c r="B234" s="283"/>
      <c r="C234" s="64"/>
      <c r="D234" s="634"/>
      <c r="E234" s="272"/>
      <c r="F234" s="272"/>
      <c r="G234" s="272"/>
      <c r="H234" s="272"/>
      <c r="I234" s="272"/>
      <c r="J234" s="161">
        <f t="shared" si="87"/>
        <v>0</v>
      </c>
      <c r="K234" s="72">
        <f t="shared" si="80"/>
        <v>0</v>
      </c>
      <c r="L234" s="72">
        <f t="shared" si="81"/>
        <v>0</v>
      </c>
      <c r="M234" s="247">
        <f>$J234+$J234*HST*(1-V10)</f>
        <v>0</v>
      </c>
      <c r="N234" s="72">
        <f t="shared" si="82"/>
        <v>0</v>
      </c>
      <c r="O234" s="72">
        <f t="shared" si="83"/>
        <v>0</v>
      </c>
      <c r="P234" s="72">
        <f t="shared" si="84"/>
        <v>0</v>
      </c>
      <c r="Q234" s="72">
        <f t="shared" si="85"/>
        <v>0</v>
      </c>
      <c r="R234" s="233">
        <f t="shared" si="86"/>
        <v>0</v>
      </c>
      <c r="S234" s="63">
        <f t="shared" si="88"/>
        <v>0</v>
      </c>
    </row>
    <row r="235" spans="1:20" x14ac:dyDescent="0.2">
      <c r="A235" s="279">
        <v>4</v>
      </c>
      <c r="B235" s="283"/>
      <c r="C235" s="65"/>
      <c r="D235" s="634"/>
      <c r="E235" s="273"/>
      <c r="F235" s="273"/>
      <c r="G235" s="273"/>
      <c r="H235" s="273"/>
      <c r="I235" s="273"/>
      <c r="J235" s="161">
        <f t="shared" si="87"/>
        <v>0</v>
      </c>
      <c r="K235" s="72">
        <f t="shared" si="80"/>
        <v>0</v>
      </c>
      <c r="L235" s="72">
        <f t="shared" si="81"/>
        <v>0</v>
      </c>
      <c r="M235" s="247">
        <f>$J235+$J235*HST*(1-V10)</f>
        <v>0</v>
      </c>
      <c r="N235" s="72">
        <f t="shared" si="82"/>
        <v>0</v>
      </c>
      <c r="O235" s="72">
        <f t="shared" si="83"/>
        <v>0</v>
      </c>
      <c r="P235" s="72">
        <f t="shared" si="84"/>
        <v>0</v>
      </c>
      <c r="Q235" s="72">
        <f t="shared" si="85"/>
        <v>0</v>
      </c>
      <c r="R235" s="233">
        <f t="shared" si="86"/>
        <v>0</v>
      </c>
      <c r="S235" s="63">
        <f t="shared" si="88"/>
        <v>0</v>
      </c>
    </row>
    <row r="236" spans="1:20" x14ac:dyDescent="0.2">
      <c r="A236" s="279">
        <v>5</v>
      </c>
      <c r="B236" s="283"/>
      <c r="C236" s="65"/>
      <c r="D236" s="634"/>
      <c r="E236" s="273"/>
      <c r="F236" s="273"/>
      <c r="G236" s="273"/>
      <c r="H236" s="273"/>
      <c r="I236" s="273"/>
      <c r="J236" s="161">
        <f t="shared" si="87"/>
        <v>0</v>
      </c>
      <c r="K236" s="72">
        <f t="shared" si="80"/>
        <v>0</v>
      </c>
      <c r="L236" s="72">
        <f t="shared" si="81"/>
        <v>0</v>
      </c>
      <c r="M236" s="247">
        <f>$J236+$J236*HST*(1-V10)</f>
        <v>0</v>
      </c>
      <c r="N236" s="72">
        <f t="shared" si="82"/>
        <v>0</v>
      </c>
      <c r="O236" s="72">
        <f t="shared" si="83"/>
        <v>0</v>
      </c>
      <c r="P236" s="72">
        <f t="shared" si="84"/>
        <v>0</v>
      </c>
      <c r="Q236" s="72">
        <f t="shared" si="85"/>
        <v>0</v>
      </c>
      <c r="R236" s="233">
        <f t="shared" si="86"/>
        <v>0</v>
      </c>
      <c r="S236" s="63">
        <f t="shared" si="88"/>
        <v>0</v>
      </c>
    </row>
    <row r="237" spans="1:20" x14ac:dyDescent="0.2">
      <c r="A237" s="279">
        <v>6</v>
      </c>
      <c r="B237" s="283"/>
      <c r="C237" s="65"/>
      <c r="D237" s="634"/>
      <c r="E237" s="273"/>
      <c r="F237" s="273"/>
      <c r="G237" s="273"/>
      <c r="H237" s="273"/>
      <c r="I237" s="273"/>
      <c r="J237" s="161">
        <f t="shared" si="87"/>
        <v>0</v>
      </c>
      <c r="K237" s="72">
        <f t="shared" si="80"/>
        <v>0</v>
      </c>
      <c r="L237" s="72">
        <f t="shared" si="81"/>
        <v>0</v>
      </c>
      <c r="M237" s="247">
        <f>$J237+$J237*HST*(1-V10)</f>
        <v>0</v>
      </c>
      <c r="N237" s="72">
        <f t="shared" si="82"/>
        <v>0</v>
      </c>
      <c r="O237" s="72">
        <f t="shared" si="83"/>
        <v>0</v>
      </c>
      <c r="P237" s="72">
        <f t="shared" si="84"/>
        <v>0</v>
      </c>
      <c r="Q237" s="72">
        <f t="shared" si="85"/>
        <v>0</v>
      </c>
      <c r="R237" s="233">
        <f t="shared" si="86"/>
        <v>0</v>
      </c>
      <c r="S237" s="63">
        <f t="shared" si="88"/>
        <v>0</v>
      </c>
    </row>
    <row r="238" spans="1:20" x14ac:dyDescent="0.2">
      <c r="A238" s="279">
        <v>7</v>
      </c>
      <c r="B238" s="283"/>
      <c r="C238" s="64"/>
      <c r="D238" s="634"/>
      <c r="E238" s="274"/>
      <c r="F238" s="274"/>
      <c r="G238" s="274"/>
      <c r="H238" s="274"/>
      <c r="I238" s="274"/>
      <c r="J238" s="162">
        <f t="shared" si="87"/>
        <v>0</v>
      </c>
      <c r="K238" s="72">
        <f t="shared" si="80"/>
        <v>0</v>
      </c>
      <c r="L238" s="260">
        <f t="shared" si="81"/>
        <v>0</v>
      </c>
      <c r="M238" s="247">
        <f>$J238+$J238*HST*(1-V10)</f>
        <v>0</v>
      </c>
      <c r="N238" s="72">
        <f t="shared" si="82"/>
        <v>0</v>
      </c>
      <c r="O238" s="72">
        <f t="shared" si="83"/>
        <v>0</v>
      </c>
      <c r="P238" s="72">
        <f t="shared" si="84"/>
        <v>0</v>
      </c>
      <c r="Q238" s="72">
        <f t="shared" si="85"/>
        <v>0</v>
      </c>
      <c r="R238" s="233">
        <f t="shared" si="86"/>
        <v>0</v>
      </c>
      <c r="S238" s="63">
        <f t="shared" si="88"/>
        <v>0</v>
      </c>
    </row>
    <row r="239" spans="1:20" x14ac:dyDescent="0.2">
      <c r="A239" s="5" t="s">
        <v>0</v>
      </c>
      <c r="B239" s="45"/>
      <c r="C239" s="51"/>
      <c r="D239" s="51"/>
      <c r="E239" s="275">
        <f t="shared" ref="E239:R239" si="89">SUM(E232:E238)</f>
        <v>0</v>
      </c>
      <c r="F239" s="275">
        <f t="shared" si="89"/>
        <v>0</v>
      </c>
      <c r="G239" s="275">
        <f t="shared" si="89"/>
        <v>0</v>
      </c>
      <c r="H239" s="275">
        <f t="shared" si="89"/>
        <v>0</v>
      </c>
      <c r="I239" s="275">
        <f t="shared" si="89"/>
        <v>0</v>
      </c>
      <c r="J239" s="68">
        <f t="shared" si="89"/>
        <v>0</v>
      </c>
      <c r="K239" s="68">
        <f t="shared" si="89"/>
        <v>0</v>
      </c>
      <c r="L239" s="68">
        <f t="shared" si="89"/>
        <v>0</v>
      </c>
      <c r="M239" s="69">
        <f t="shared" si="89"/>
        <v>0</v>
      </c>
      <c r="N239" s="285">
        <f t="shared" si="89"/>
        <v>0</v>
      </c>
      <c r="O239" s="285">
        <f t="shared" si="89"/>
        <v>0</v>
      </c>
      <c r="P239" s="285">
        <f t="shared" si="89"/>
        <v>0</v>
      </c>
      <c r="Q239" s="285">
        <f t="shared" si="89"/>
        <v>0</v>
      </c>
      <c r="R239" s="285">
        <f t="shared" si="89"/>
        <v>0</v>
      </c>
      <c r="S239" s="63">
        <f t="shared" si="88"/>
        <v>0</v>
      </c>
    </row>
    <row r="240" spans="1:20" x14ac:dyDescent="0.2">
      <c r="A240" s="6"/>
      <c r="B240" s="4"/>
      <c r="C240" s="4"/>
      <c r="D240" s="4"/>
      <c r="E240" s="74"/>
      <c r="F240" s="74"/>
      <c r="G240" s="74"/>
      <c r="H240" s="74"/>
      <c r="I240" s="74"/>
      <c r="J240" s="74"/>
      <c r="K240" s="74"/>
      <c r="L240" s="74"/>
      <c r="M240" s="75"/>
      <c r="N240" s="79"/>
      <c r="O240" s="79"/>
      <c r="P240" s="79"/>
      <c r="Q240" s="79"/>
      <c r="R240" s="79"/>
    </row>
    <row r="241" spans="1:19" x14ac:dyDescent="0.2">
      <c r="E241" s="61"/>
      <c r="F241" s="61"/>
      <c r="G241" s="61"/>
      <c r="H241" s="61"/>
      <c r="I241" s="61"/>
      <c r="J241" s="61"/>
      <c r="K241" s="61"/>
      <c r="L241" s="61"/>
      <c r="M241" s="61"/>
      <c r="N241" s="61"/>
      <c r="O241" s="61"/>
      <c r="P241" s="61"/>
      <c r="Q241" s="61"/>
      <c r="R241" s="61"/>
      <c r="S241" s="61"/>
    </row>
    <row r="242" spans="1:19" x14ac:dyDescent="0.2">
      <c r="A242" s="50" t="str">
        <f>+Company!A73</f>
        <v>Template version 3 (January 23, 2012)</v>
      </c>
      <c r="E242" s="61"/>
      <c r="F242" s="61"/>
      <c r="G242" s="61"/>
      <c r="H242" s="61"/>
      <c r="I242" s="61"/>
      <c r="J242" s="61"/>
      <c r="K242" s="61"/>
      <c r="L242" s="61"/>
      <c r="M242" s="61"/>
      <c r="N242" s="61"/>
      <c r="O242" s="61"/>
      <c r="P242" s="61"/>
      <c r="Q242" s="61"/>
      <c r="R242" s="61"/>
      <c r="S242" s="61"/>
    </row>
    <row r="243" spans="1:19" x14ac:dyDescent="0.2">
      <c r="E243" s="61"/>
      <c r="F243" s="61"/>
      <c r="G243" s="61"/>
      <c r="H243" s="61"/>
      <c r="I243" s="61"/>
      <c r="J243" s="61"/>
      <c r="K243" s="61"/>
      <c r="L243" s="61"/>
      <c r="M243" s="61"/>
      <c r="N243" s="61"/>
      <c r="O243" s="61"/>
      <c r="P243" s="61"/>
      <c r="Q243" s="61"/>
      <c r="R243" s="61"/>
      <c r="S243" s="61"/>
    </row>
    <row r="244" spans="1:19" x14ac:dyDescent="0.2">
      <c r="E244" s="61"/>
      <c r="F244" s="61"/>
      <c r="G244" s="61"/>
      <c r="H244" s="61"/>
      <c r="I244" s="61"/>
      <c r="J244" s="61"/>
      <c r="K244" s="61"/>
      <c r="L244" s="61"/>
      <c r="M244" s="61"/>
      <c r="N244" s="61"/>
      <c r="O244" s="61"/>
      <c r="P244" s="61"/>
      <c r="Q244" s="61"/>
      <c r="R244" s="61"/>
      <c r="S244" s="61"/>
    </row>
    <row r="245" spans="1:19" x14ac:dyDescent="0.2">
      <c r="E245" s="61"/>
      <c r="F245" s="61"/>
      <c r="G245" s="61"/>
      <c r="H245" s="61"/>
      <c r="I245" s="61"/>
      <c r="J245" s="61"/>
      <c r="K245" s="61"/>
      <c r="L245" s="61"/>
      <c r="M245" s="61"/>
      <c r="N245" s="61"/>
      <c r="O245" s="61"/>
      <c r="P245" s="61"/>
      <c r="Q245" s="61"/>
      <c r="R245" s="61"/>
      <c r="S245" s="61"/>
    </row>
    <row r="246" spans="1:19" x14ac:dyDescent="0.2">
      <c r="E246" s="61"/>
      <c r="F246" s="61"/>
      <c r="G246" s="61"/>
      <c r="H246" s="61"/>
      <c r="I246" s="61"/>
      <c r="J246" s="61"/>
      <c r="K246" s="61"/>
      <c r="L246" s="61"/>
      <c r="M246" s="61"/>
      <c r="N246" s="61"/>
      <c r="O246" s="61"/>
      <c r="P246" s="61"/>
      <c r="Q246" s="61"/>
      <c r="R246" s="61"/>
      <c r="S246" s="61"/>
    </row>
    <row r="247" spans="1:19" x14ac:dyDescent="0.2">
      <c r="E247" s="61"/>
      <c r="F247" s="61"/>
      <c r="G247" s="61"/>
      <c r="H247" s="61"/>
      <c r="I247" s="61"/>
      <c r="J247" s="61"/>
      <c r="K247" s="61"/>
      <c r="L247" s="61"/>
      <c r="M247" s="61"/>
      <c r="N247" s="61"/>
      <c r="O247" s="61"/>
      <c r="P247" s="61"/>
      <c r="Q247" s="61"/>
      <c r="R247" s="61"/>
      <c r="S247" s="61"/>
    </row>
    <row r="248" spans="1:19" x14ac:dyDescent="0.2">
      <c r="E248" s="61"/>
      <c r="F248" s="61"/>
      <c r="G248" s="61"/>
      <c r="H248" s="61"/>
      <c r="I248" s="61"/>
      <c r="J248" s="61"/>
      <c r="K248" s="61"/>
      <c r="L248" s="61"/>
      <c r="M248" s="61"/>
      <c r="N248" s="61"/>
      <c r="O248" s="61"/>
      <c r="P248" s="61"/>
      <c r="Q248" s="61"/>
      <c r="R248" s="61"/>
      <c r="S248" s="61"/>
    </row>
    <row r="249" spans="1:19" x14ac:dyDescent="0.2">
      <c r="E249" s="61"/>
      <c r="F249" s="61"/>
      <c r="G249" s="61"/>
      <c r="H249" s="61"/>
      <c r="I249" s="61"/>
      <c r="J249" s="61"/>
      <c r="K249" s="61"/>
      <c r="L249" s="61"/>
      <c r="M249" s="61"/>
      <c r="N249" s="61"/>
      <c r="O249" s="61"/>
      <c r="P249" s="61"/>
      <c r="Q249" s="61"/>
      <c r="R249" s="61"/>
      <c r="S249" s="61"/>
    </row>
    <row r="250" spans="1:19" x14ac:dyDescent="0.2">
      <c r="E250" s="61"/>
      <c r="F250" s="61"/>
      <c r="G250" s="61"/>
      <c r="H250" s="61"/>
      <c r="I250" s="61"/>
      <c r="J250" s="61"/>
      <c r="K250" s="61"/>
      <c r="L250" s="61"/>
      <c r="M250" s="61"/>
      <c r="N250" s="61"/>
      <c r="O250" s="61"/>
      <c r="P250" s="61"/>
      <c r="Q250" s="61"/>
      <c r="R250" s="61"/>
      <c r="S250" s="61"/>
    </row>
    <row r="251" spans="1:19" x14ac:dyDescent="0.2">
      <c r="E251" s="61"/>
      <c r="F251" s="61"/>
      <c r="G251" s="61"/>
      <c r="H251" s="61"/>
      <c r="I251" s="61"/>
      <c r="J251" s="61"/>
      <c r="K251" s="61"/>
      <c r="L251" s="61"/>
      <c r="M251" s="61"/>
      <c r="N251" s="61"/>
      <c r="O251" s="61"/>
      <c r="P251" s="61"/>
      <c r="Q251" s="61"/>
      <c r="R251" s="61"/>
      <c r="S251" s="61"/>
    </row>
    <row r="252" spans="1:19" x14ac:dyDescent="0.2">
      <c r="E252" s="61"/>
      <c r="F252" s="61"/>
      <c r="G252" s="61"/>
      <c r="H252" s="61"/>
      <c r="I252" s="61"/>
      <c r="J252" s="61"/>
      <c r="K252" s="61"/>
      <c r="L252" s="61"/>
      <c r="M252" s="61"/>
      <c r="N252" s="61"/>
      <c r="O252" s="61"/>
      <c r="P252" s="61"/>
      <c r="Q252" s="61"/>
      <c r="R252" s="61"/>
      <c r="S252" s="61"/>
    </row>
    <row r="253" spans="1:19" x14ac:dyDescent="0.2">
      <c r="E253" s="61"/>
      <c r="F253" s="61"/>
      <c r="G253" s="61"/>
      <c r="H253" s="61"/>
      <c r="I253" s="61"/>
      <c r="J253" s="61"/>
      <c r="K253" s="61"/>
      <c r="L253" s="61"/>
      <c r="M253" s="61"/>
      <c r="N253" s="61"/>
      <c r="O253" s="61"/>
      <c r="P253" s="61"/>
      <c r="Q253" s="61"/>
      <c r="R253" s="61"/>
      <c r="S253" s="61"/>
    </row>
    <row r="254" spans="1:19" x14ac:dyDescent="0.2">
      <c r="E254" s="61"/>
      <c r="F254" s="61"/>
      <c r="G254" s="61"/>
      <c r="H254" s="61"/>
      <c r="I254" s="61"/>
      <c r="J254" s="61"/>
      <c r="K254" s="61"/>
      <c r="L254" s="61"/>
      <c r="M254" s="61"/>
      <c r="N254" s="61"/>
      <c r="O254" s="61"/>
      <c r="P254" s="61"/>
      <c r="Q254" s="61"/>
      <c r="R254" s="61"/>
      <c r="S254" s="61"/>
    </row>
    <row r="255" spans="1:19" x14ac:dyDescent="0.2">
      <c r="E255" s="61"/>
      <c r="F255" s="61"/>
      <c r="G255" s="61"/>
      <c r="H255" s="61"/>
      <c r="I255" s="61"/>
      <c r="J255" s="61"/>
      <c r="K255" s="61"/>
      <c r="L255" s="61"/>
      <c r="M255" s="61"/>
      <c r="N255" s="61"/>
      <c r="O255" s="61"/>
      <c r="P255" s="61"/>
      <c r="Q255" s="61"/>
      <c r="R255" s="61"/>
      <c r="S255" s="61"/>
    </row>
    <row r="256" spans="1:19" x14ac:dyDescent="0.2">
      <c r="E256" s="61"/>
      <c r="F256" s="61"/>
      <c r="G256" s="61"/>
      <c r="H256" s="61"/>
      <c r="I256" s="61"/>
      <c r="J256" s="61"/>
      <c r="K256" s="61"/>
      <c r="L256" s="61"/>
      <c r="M256" s="61"/>
      <c r="N256" s="61"/>
      <c r="O256" s="61"/>
      <c r="P256" s="61"/>
      <c r="Q256" s="61"/>
      <c r="R256" s="61"/>
      <c r="S256" s="61"/>
    </row>
    <row r="257" spans="5:19" x14ac:dyDescent="0.2">
      <c r="E257" s="61"/>
      <c r="F257" s="61"/>
      <c r="G257" s="61"/>
      <c r="H257" s="61"/>
      <c r="I257" s="61"/>
      <c r="J257" s="61"/>
      <c r="K257" s="61"/>
      <c r="L257" s="61"/>
      <c r="M257" s="61"/>
      <c r="N257" s="61"/>
      <c r="O257" s="61"/>
      <c r="P257" s="61"/>
      <c r="Q257" s="61"/>
      <c r="R257" s="61"/>
      <c r="S257" s="61"/>
    </row>
    <row r="258" spans="5:19" x14ac:dyDescent="0.2">
      <c r="E258" s="61"/>
      <c r="F258" s="61"/>
      <c r="G258" s="61"/>
      <c r="H258" s="61"/>
      <c r="I258" s="61"/>
      <c r="J258" s="61"/>
      <c r="K258" s="61"/>
      <c r="L258" s="61"/>
      <c r="M258" s="61"/>
      <c r="N258" s="61"/>
      <c r="O258" s="61"/>
      <c r="P258" s="61"/>
      <c r="Q258" s="61"/>
      <c r="R258" s="61"/>
      <c r="S258" s="61"/>
    </row>
    <row r="259" spans="5:19" x14ac:dyDescent="0.2">
      <c r="E259" s="61"/>
      <c r="F259" s="61"/>
      <c r="G259" s="61"/>
      <c r="H259" s="61"/>
      <c r="I259" s="61"/>
      <c r="J259" s="61"/>
      <c r="K259" s="61"/>
      <c r="L259" s="61"/>
      <c r="M259" s="61"/>
      <c r="N259" s="61"/>
      <c r="O259" s="61"/>
      <c r="P259" s="61"/>
      <c r="Q259" s="61"/>
      <c r="R259" s="61"/>
      <c r="S259" s="61"/>
    </row>
    <row r="260" spans="5:19" x14ac:dyDescent="0.2">
      <c r="E260" s="61"/>
      <c r="F260" s="61"/>
      <c r="G260" s="61"/>
      <c r="H260" s="61"/>
      <c r="I260" s="61"/>
      <c r="J260" s="61"/>
      <c r="K260" s="61"/>
      <c r="L260" s="61"/>
      <c r="M260" s="61"/>
      <c r="N260" s="61"/>
      <c r="O260" s="61"/>
      <c r="P260" s="61"/>
      <c r="Q260" s="61"/>
      <c r="R260" s="61"/>
      <c r="S260" s="61"/>
    </row>
    <row r="261" spans="5:19" x14ac:dyDescent="0.2">
      <c r="E261" s="61"/>
      <c r="F261" s="61"/>
      <c r="G261" s="61"/>
      <c r="H261" s="61"/>
      <c r="I261" s="61"/>
      <c r="J261" s="61"/>
      <c r="K261" s="61"/>
      <c r="L261" s="61"/>
      <c r="M261" s="61"/>
      <c r="N261" s="61"/>
      <c r="O261" s="61"/>
      <c r="P261" s="61"/>
      <c r="Q261" s="61"/>
      <c r="R261" s="61"/>
      <c r="S261" s="61"/>
    </row>
    <row r="262" spans="5:19" x14ac:dyDescent="0.2">
      <c r="E262" s="61"/>
      <c r="F262" s="61"/>
      <c r="G262" s="61"/>
      <c r="H262" s="61"/>
      <c r="I262" s="61"/>
      <c r="J262" s="61"/>
      <c r="K262" s="61"/>
      <c r="L262" s="61"/>
      <c r="M262" s="61"/>
      <c r="N262" s="61"/>
      <c r="O262" s="61"/>
      <c r="P262" s="61"/>
      <c r="Q262" s="61"/>
      <c r="R262" s="61"/>
      <c r="S262" s="61"/>
    </row>
    <row r="263" spans="5:19" x14ac:dyDescent="0.2">
      <c r="E263" s="61"/>
      <c r="F263" s="61"/>
      <c r="G263" s="61"/>
      <c r="H263" s="61"/>
      <c r="I263" s="61"/>
      <c r="J263" s="61"/>
      <c r="K263" s="61"/>
      <c r="L263" s="61"/>
      <c r="M263" s="61"/>
      <c r="N263" s="61"/>
      <c r="O263" s="61"/>
      <c r="P263" s="61"/>
      <c r="Q263" s="61"/>
      <c r="R263" s="61"/>
      <c r="S263" s="61"/>
    </row>
    <row r="264" spans="5:19" x14ac:dyDescent="0.2">
      <c r="E264" s="61"/>
      <c r="F264" s="61"/>
      <c r="G264" s="61"/>
      <c r="H264" s="61"/>
      <c r="I264" s="61"/>
      <c r="J264" s="61"/>
      <c r="K264" s="61"/>
      <c r="L264" s="61"/>
      <c r="M264" s="61"/>
      <c r="N264" s="61"/>
      <c r="O264" s="61"/>
      <c r="P264" s="61"/>
      <c r="Q264" s="61"/>
      <c r="R264" s="61"/>
      <c r="S264" s="61"/>
    </row>
    <row r="265" spans="5:19" x14ac:dyDescent="0.2">
      <c r="E265" s="61"/>
      <c r="F265" s="61"/>
      <c r="G265" s="61"/>
      <c r="H265" s="61"/>
      <c r="I265" s="61"/>
      <c r="J265" s="61"/>
      <c r="K265" s="61"/>
      <c r="L265" s="61"/>
      <c r="M265" s="61"/>
      <c r="N265" s="61"/>
      <c r="O265" s="61"/>
      <c r="P265" s="61"/>
      <c r="Q265" s="61"/>
      <c r="R265" s="61"/>
      <c r="S265" s="61"/>
    </row>
    <row r="266" spans="5:19" x14ac:dyDescent="0.2">
      <c r="E266" s="61"/>
      <c r="F266" s="61"/>
      <c r="G266" s="61"/>
      <c r="H266" s="61"/>
      <c r="I266" s="61"/>
      <c r="J266" s="61"/>
      <c r="K266" s="61"/>
      <c r="L266" s="61"/>
      <c r="M266" s="61"/>
      <c r="N266" s="61"/>
      <c r="O266" s="61"/>
      <c r="P266" s="61"/>
      <c r="Q266" s="61"/>
      <c r="R266" s="61"/>
      <c r="S266" s="61"/>
    </row>
    <row r="267" spans="5:19" x14ac:dyDescent="0.2">
      <c r="E267" s="61"/>
      <c r="F267" s="61"/>
      <c r="G267" s="61"/>
      <c r="H267" s="61"/>
      <c r="I267" s="61"/>
      <c r="J267" s="61"/>
      <c r="K267" s="61"/>
      <c r="L267" s="61"/>
      <c r="M267" s="61"/>
      <c r="N267" s="61"/>
      <c r="O267" s="61"/>
      <c r="P267" s="61"/>
      <c r="Q267" s="61"/>
      <c r="R267" s="61"/>
      <c r="S267" s="61"/>
    </row>
    <row r="268" spans="5:19" x14ac:dyDescent="0.2">
      <c r="E268" s="61"/>
      <c r="F268" s="61"/>
      <c r="G268" s="61"/>
      <c r="H268" s="61"/>
      <c r="I268" s="61"/>
      <c r="J268" s="61"/>
      <c r="K268" s="61"/>
      <c r="L268" s="61"/>
      <c r="M268" s="61"/>
      <c r="N268" s="61"/>
      <c r="O268" s="61"/>
      <c r="P268" s="61"/>
      <c r="Q268" s="61"/>
      <c r="R268" s="61"/>
      <c r="S268" s="61"/>
    </row>
    <row r="269" spans="5:19" x14ac:dyDescent="0.2">
      <c r="E269" s="61"/>
      <c r="F269" s="61"/>
      <c r="G269" s="61"/>
      <c r="H269" s="61"/>
      <c r="I269" s="61"/>
      <c r="J269" s="61"/>
      <c r="K269" s="61"/>
      <c r="L269" s="61"/>
      <c r="M269" s="61"/>
      <c r="N269" s="61"/>
      <c r="O269" s="61"/>
      <c r="P269" s="61"/>
      <c r="Q269" s="61"/>
      <c r="R269" s="61"/>
      <c r="S269" s="61"/>
    </row>
    <row r="270" spans="5:19" x14ac:dyDescent="0.2">
      <c r="E270" s="61"/>
      <c r="F270" s="61"/>
      <c r="G270" s="61"/>
      <c r="H270" s="61"/>
      <c r="I270" s="61"/>
      <c r="J270" s="61"/>
      <c r="K270" s="61"/>
      <c r="L270" s="61"/>
      <c r="M270" s="61"/>
      <c r="N270" s="61"/>
      <c r="O270" s="61"/>
      <c r="P270" s="61"/>
      <c r="Q270" s="61"/>
      <c r="R270" s="61"/>
      <c r="S270" s="61"/>
    </row>
    <row r="271" spans="5:19" x14ac:dyDescent="0.2">
      <c r="E271" s="61"/>
      <c r="F271" s="61"/>
      <c r="G271" s="61"/>
      <c r="H271" s="61"/>
      <c r="I271" s="61"/>
      <c r="J271" s="61"/>
      <c r="K271" s="61"/>
      <c r="L271" s="61"/>
      <c r="M271" s="61"/>
      <c r="N271" s="61"/>
      <c r="O271" s="61"/>
      <c r="P271" s="61"/>
      <c r="Q271" s="61"/>
      <c r="R271" s="61"/>
      <c r="S271" s="61"/>
    </row>
    <row r="272" spans="5:19" x14ac:dyDescent="0.2">
      <c r="E272" s="61"/>
      <c r="F272" s="61"/>
      <c r="G272" s="61"/>
      <c r="H272" s="61"/>
      <c r="I272" s="61"/>
      <c r="J272" s="61"/>
      <c r="K272" s="61"/>
      <c r="L272" s="61"/>
      <c r="M272" s="61"/>
      <c r="N272" s="61"/>
      <c r="O272" s="61"/>
      <c r="P272" s="61"/>
      <c r="Q272" s="61"/>
      <c r="R272" s="61"/>
      <c r="S272" s="61"/>
    </row>
    <row r="273" spans="5:19" x14ac:dyDescent="0.2">
      <c r="E273" s="61"/>
      <c r="F273" s="61"/>
      <c r="G273" s="61"/>
      <c r="H273" s="61"/>
      <c r="I273" s="61"/>
      <c r="J273" s="61"/>
      <c r="K273" s="61"/>
      <c r="L273" s="61"/>
      <c r="M273" s="61"/>
      <c r="N273" s="61"/>
      <c r="O273" s="61"/>
      <c r="P273" s="61"/>
      <c r="Q273" s="61"/>
      <c r="R273" s="61"/>
      <c r="S273" s="61"/>
    </row>
    <row r="274" spans="5:19" x14ac:dyDescent="0.2">
      <c r="E274" s="61"/>
      <c r="F274" s="61"/>
      <c r="G274" s="61"/>
      <c r="H274" s="61"/>
      <c r="I274" s="61"/>
      <c r="J274" s="61"/>
      <c r="K274" s="61"/>
      <c r="L274" s="61"/>
      <c r="M274" s="61"/>
      <c r="N274" s="61"/>
      <c r="O274" s="61"/>
      <c r="P274" s="61"/>
      <c r="Q274" s="61"/>
      <c r="R274" s="61"/>
      <c r="S274" s="61"/>
    </row>
    <row r="275" spans="5:19" x14ac:dyDescent="0.2">
      <c r="E275" s="61"/>
      <c r="F275" s="61"/>
      <c r="G275" s="61"/>
      <c r="H275" s="61"/>
      <c r="I275" s="61"/>
      <c r="J275" s="61"/>
      <c r="K275" s="61"/>
      <c r="L275" s="61"/>
      <c r="M275" s="61"/>
      <c r="N275" s="61"/>
      <c r="O275" s="61"/>
      <c r="P275" s="61"/>
      <c r="Q275" s="61"/>
      <c r="R275" s="61"/>
      <c r="S275" s="61"/>
    </row>
    <row r="276" spans="5:19" x14ac:dyDescent="0.2">
      <c r="E276" s="61"/>
      <c r="F276" s="61"/>
      <c r="G276" s="61"/>
      <c r="H276" s="61"/>
      <c r="I276" s="61"/>
      <c r="J276" s="61"/>
      <c r="K276" s="61"/>
      <c r="L276" s="61"/>
      <c r="M276" s="61"/>
      <c r="N276" s="61"/>
      <c r="O276" s="61"/>
      <c r="P276" s="61"/>
      <c r="Q276" s="61"/>
      <c r="R276" s="61"/>
      <c r="S276" s="61"/>
    </row>
    <row r="277" spans="5:19" x14ac:dyDescent="0.2">
      <c r="E277" s="61"/>
      <c r="F277" s="61"/>
      <c r="G277" s="61"/>
      <c r="H277" s="61"/>
      <c r="I277" s="61"/>
      <c r="J277" s="61"/>
      <c r="K277" s="61"/>
      <c r="L277" s="61"/>
      <c r="M277" s="61"/>
      <c r="N277" s="61"/>
      <c r="O277" s="61"/>
      <c r="P277" s="61"/>
      <c r="Q277" s="61"/>
      <c r="R277" s="61"/>
      <c r="S277" s="61"/>
    </row>
    <row r="278" spans="5:19" x14ac:dyDescent="0.2">
      <c r="E278" s="61"/>
      <c r="F278" s="61"/>
      <c r="G278" s="61"/>
      <c r="H278" s="61"/>
      <c r="I278" s="61"/>
      <c r="J278" s="61"/>
      <c r="K278" s="61"/>
      <c r="L278" s="61"/>
      <c r="M278" s="61"/>
      <c r="N278" s="61"/>
      <c r="O278" s="61"/>
      <c r="P278" s="61"/>
      <c r="Q278" s="61"/>
      <c r="R278" s="61"/>
      <c r="S278" s="61"/>
    </row>
    <row r="279" spans="5:19" x14ac:dyDescent="0.2">
      <c r="E279" s="61"/>
      <c r="F279" s="61"/>
      <c r="G279" s="61"/>
      <c r="H279" s="61"/>
      <c r="I279" s="61"/>
      <c r="J279" s="61"/>
      <c r="K279" s="61"/>
      <c r="L279" s="61"/>
      <c r="M279" s="61"/>
      <c r="N279" s="61"/>
      <c r="O279" s="61"/>
      <c r="P279" s="61"/>
      <c r="Q279" s="61"/>
      <c r="R279" s="61"/>
      <c r="S279" s="61"/>
    </row>
    <row r="280" spans="5:19" x14ac:dyDescent="0.2">
      <c r="E280" s="61"/>
      <c r="F280" s="61"/>
      <c r="G280" s="61"/>
      <c r="H280" s="61"/>
      <c r="I280" s="61"/>
      <c r="J280" s="61"/>
      <c r="K280" s="61"/>
      <c r="L280" s="61"/>
      <c r="M280" s="61"/>
      <c r="N280" s="61"/>
      <c r="O280" s="61"/>
      <c r="P280" s="61"/>
      <c r="Q280" s="61"/>
      <c r="R280" s="61"/>
      <c r="S280" s="61"/>
    </row>
    <row r="281" spans="5:19" x14ac:dyDescent="0.2">
      <c r="E281" s="61"/>
      <c r="F281" s="61"/>
      <c r="G281" s="61"/>
      <c r="H281" s="61"/>
      <c r="I281" s="61"/>
      <c r="J281" s="61"/>
      <c r="K281" s="61"/>
      <c r="L281" s="61"/>
      <c r="M281" s="61"/>
      <c r="N281" s="61"/>
      <c r="O281" s="61"/>
      <c r="P281" s="61"/>
      <c r="Q281" s="61"/>
      <c r="R281" s="61"/>
      <c r="S281" s="61"/>
    </row>
    <row r="282" spans="5:19" x14ac:dyDescent="0.2">
      <c r="E282" s="61"/>
      <c r="F282" s="61"/>
      <c r="G282" s="61"/>
      <c r="H282" s="61"/>
      <c r="I282" s="61"/>
      <c r="J282" s="61"/>
      <c r="K282" s="61"/>
      <c r="L282" s="61"/>
      <c r="M282" s="61"/>
      <c r="N282" s="61"/>
      <c r="O282" s="61"/>
      <c r="P282" s="61"/>
      <c r="Q282" s="61"/>
      <c r="R282" s="61"/>
      <c r="S282" s="61"/>
    </row>
    <row r="283" spans="5:19" x14ac:dyDescent="0.2">
      <c r="E283" s="61"/>
      <c r="F283" s="61"/>
      <c r="G283" s="61"/>
      <c r="H283" s="61"/>
      <c r="I283" s="61"/>
      <c r="J283" s="61"/>
      <c r="K283" s="61"/>
      <c r="L283" s="61"/>
      <c r="M283" s="61"/>
      <c r="N283" s="61"/>
      <c r="O283" s="61"/>
      <c r="P283" s="61"/>
      <c r="Q283" s="61"/>
      <c r="R283" s="61"/>
      <c r="S283" s="61"/>
    </row>
    <row r="284" spans="5:19" x14ac:dyDescent="0.2">
      <c r="E284" s="61"/>
      <c r="F284" s="61"/>
      <c r="G284" s="61"/>
      <c r="H284" s="61"/>
      <c r="I284" s="61"/>
      <c r="J284" s="61"/>
      <c r="K284" s="61"/>
      <c r="L284" s="61"/>
      <c r="M284" s="61"/>
      <c r="N284" s="61"/>
      <c r="O284" s="61"/>
      <c r="P284" s="61"/>
      <c r="Q284" s="61"/>
      <c r="R284" s="61"/>
      <c r="S284" s="61"/>
    </row>
    <row r="285" spans="5:19" x14ac:dyDescent="0.2">
      <c r="E285" s="61"/>
      <c r="F285" s="61"/>
      <c r="G285" s="61"/>
      <c r="H285" s="61"/>
      <c r="I285" s="61"/>
      <c r="J285" s="61"/>
      <c r="K285" s="61"/>
      <c r="L285" s="61"/>
      <c r="M285" s="61"/>
      <c r="N285" s="61"/>
      <c r="O285" s="61"/>
      <c r="P285" s="61"/>
      <c r="Q285" s="61"/>
      <c r="R285" s="61"/>
      <c r="S285" s="61"/>
    </row>
    <row r="286" spans="5:19" x14ac:dyDescent="0.2">
      <c r="E286" s="61"/>
      <c r="F286" s="61"/>
      <c r="G286" s="61"/>
      <c r="H286" s="61"/>
      <c r="I286" s="61"/>
      <c r="J286" s="61"/>
      <c r="K286" s="61"/>
      <c r="L286" s="61"/>
      <c r="M286" s="61"/>
      <c r="N286" s="61"/>
      <c r="O286" s="61"/>
      <c r="P286" s="61"/>
      <c r="Q286" s="61"/>
      <c r="R286" s="61"/>
      <c r="S286" s="61"/>
    </row>
    <row r="287" spans="5:19" x14ac:dyDescent="0.2">
      <c r="E287" s="61"/>
      <c r="F287" s="61"/>
      <c r="G287" s="61"/>
      <c r="H287" s="61"/>
      <c r="I287" s="61"/>
      <c r="J287" s="61"/>
      <c r="K287" s="61"/>
      <c r="L287" s="61"/>
      <c r="M287" s="61"/>
      <c r="N287" s="61"/>
      <c r="O287" s="61"/>
      <c r="P287" s="61"/>
      <c r="Q287" s="61"/>
      <c r="R287" s="61"/>
      <c r="S287" s="61"/>
    </row>
    <row r="288" spans="5:19" x14ac:dyDescent="0.2">
      <c r="E288" s="61"/>
      <c r="F288" s="61"/>
      <c r="G288" s="61"/>
      <c r="H288" s="61"/>
      <c r="I288" s="61"/>
      <c r="J288" s="61"/>
      <c r="K288" s="61"/>
      <c r="L288" s="61"/>
      <c r="M288" s="61"/>
      <c r="N288" s="61"/>
      <c r="O288" s="61"/>
      <c r="P288" s="61"/>
      <c r="Q288" s="61"/>
      <c r="R288" s="61"/>
      <c r="S288" s="61"/>
    </row>
    <row r="289" spans="5:19" x14ac:dyDescent="0.2">
      <c r="E289" s="61"/>
      <c r="F289" s="61"/>
      <c r="G289" s="61"/>
      <c r="H289" s="61"/>
      <c r="I289" s="61"/>
      <c r="J289" s="61"/>
      <c r="K289" s="61"/>
      <c r="L289" s="61"/>
      <c r="M289" s="61"/>
      <c r="N289" s="61"/>
      <c r="O289" s="61"/>
      <c r="P289" s="61"/>
      <c r="Q289" s="61"/>
      <c r="R289" s="61"/>
      <c r="S289" s="61"/>
    </row>
    <row r="290" spans="5:19" x14ac:dyDescent="0.2">
      <c r="E290" s="61"/>
      <c r="F290" s="61"/>
      <c r="G290" s="61"/>
      <c r="H290" s="61"/>
      <c r="I290" s="61"/>
      <c r="J290" s="61"/>
      <c r="K290" s="61"/>
      <c r="L290" s="61"/>
      <c r="M290" s="61"/>
      <c r="N290" s="61"/>
      <c r="O290" s="61"/>
      <c r="P290" s="61"/>
      <c r="Q290" s="61"/>
      <c r="R290" s="61"/>
      <c r="S290" s="61"/>
    </row>
    <row r="291" spans="5:19" x14ac:dyDescent="0.2">
      <c r="E291" s="61"/>
      <c r="F291" s="61"/>
      <c r="G291" s="61"/>
      <c r="H291" s="61"/>
      <c r="I291" s="61"/>
      <c r="J291" s="61"/>
      <c r="K291" s="61"/>
      <c r="L291" s="61"/>
      <c r="M291" s="61"/>
      <c r="N291" s="61"/>
      <c r="O291" s="61"/>
      <c r="P291" s="61"/>
      <c r="Q291" s="61"/>
      <c r="R291" s="61"/>
      <c r="S291" s="61"/>
    </row>
    <row r="292" spans="5:19" x14ac:dyDescent="0.2">
      <c r="E292" s="61"/>
      <c r="F292" s="61"/>
      <c r="G292" s="61"/>
      <c r="H292" s="61"/>
      <c r="I292" s="61"/>
      <c r="J292" s="61"/>
      <c r="K292" s="61"/>
      <c r="L292" s="61"/>
      <c r="M292" s="61"/>
      <c r="N292" s="61"/>
      <c r="O292" s="61"/>
      <c r="P292" s="61"/>
      <c r="Q292" s="61"/>
      <c r="R292" s="61"/>
      <c r="S292" s="61"/>
    </row>
    <row r="293" spans="5:19" x14ac:dyDescent="0.2">
      <c r="E293" s="61"/>
      <c r="F293" s="61"/>
      <c r="G293" s="61"/>
      <c r="H293" s="61"/>
      <c r="I293" s="61"/>
      <c r="J293" s="61"/>
      <c r="K293" s="61"/>
      <c r="L293" s="61"/>
      <c r="M293" s="61"/>
      <c r="N293" s="61"/>
      <c r="O293" s="61"/>
      <c r="P293" s="61"/>
      <c r="Q293" s="61"/>
      <c r="R293" s="61"/>
      <c r="S293" s="61"/>
    </row>
    <row r="294" spans="5:19" x14ac:dyDescent="0.2">
      <c r="E294" s="61"/>
      <c r="F294" s="61"/>
      <c r="G294" s="61"/>
      <c r="H294" s="61"/>
      <c r="I294" s="61"/>
      <c r="J294" s="61"/>
      <c r="K294" s="61"/>
      <c r="L294" s="61"/>
      <c r="M294" s="61"/>
      <c r="N294" s="61"/>
      <c r="O294" s="61"/>
      <c r="P294" s="61"/>
      <c r="Q294" s="61"/>
      <c r="R294" s="61"/>
      <c r="S294" s="61"/>
    </row>
    <row r="295" spans="5:19" x14ac:dyDescent="0.2">
      <c r="E295" s="61"/>
      <c r="F295" s="61"/>
      <c r="G295" s="61"/>
      <c r="H295" s="61"/>
      <c r="I295" s="61"/>
      <c r="J295" s="61"/>
      <c r="K295" s="61"/>
      <c r="L295" s="61"/>
      <c r="M295" s="61"/>
      <c r="N295" s="61"/>
      <c r="O295" s="61"/>
      <c r="P295" s="61"/>
      <c r="Q295" s="61"/>
      <c r="R295" s="61"/>
      <c r="S295" s="61"/>
    </row>
    <row r="296" spans="5:19" x14ac:dyDescent="0.2">
      <c r="E296" s="61"/>
      <c r="F296" s="61"/>
      <c r="G296" s="61"/>
      <c r="H296" s="61"/>
      <c r="I296" s="61"/>
      <c r="J296" s="61"/>
      <c r="K296" s="61"/>
      <c r="L296" s="61"/>
      <c r="M296" s="61"/>
      <c r="N296" s="61"/>
      <c r="O296" s="61"/>
      <c r="P296" s="61"/>
      <c r="Q296" s="61"/>
      <c r="R296" s="61"/>
      <c r="S296" s="61"/>
    </row>
    <row r="297" spans="5:19" x14ac:dyDescent="0.2">
      <c r="E297" s="61"/>
      <c r="F297" s="61"/>
      <c r="G297" s="61"/>
      <c r="H297" s="61"/>
      <c r="I297" s="61"/>
      <c r="J297" s="61"/>
      <c r="K297" s="61"/>
      <c r="L297" s="61"/>
      <c r="M297" s="61"/>
      <c r="N297" s="61"/>
      <c r="O297" s="61"/>
      <c r="P297" s="61"/>
      <c r="Q297" s="61"/>
      <c r="R297" s="61"/>
      <c r="S297" s="61"/>
    </row>
    <row r="298" spans="5:19" x14ac:dyDescent="0.2">
      <c r="E298" s="61"/>
      <c r="F298" s="61"/>
      <c r="G298" s="61"/>
      <c r="H298" s="61"/>
      <c r="I298" s="61"/>
      <c r="J298" s="61"/>
      <c r="K298" s="61"/>
      <c r="L298" s="61"/>
      <c r="M298" s="61"/>
      <c r="N298" s="61"/>
      <c r="O298" s="61"/>
      <c r="P298" s="61"/>
      <c r="Q298" s="61"/>
      <c r="R298" s="61"/>
      <c r="S298" s="61"/>
    </row>
    <row r="299" spans="5:19" x14ac:dyDescent="0.2">
      <c r="E299" s="61"/>
      <c r="F299" s="61"/>
      <c r="G299" s="61"/>
      <c r="H299" s="61"/>
      <c r="I299" s="61"/>
      <c r="J299" s="61"/>
      <c r="K299" s="61"/>
      <c r="L299" s="61"/>
      <c r="M299" s="61"/>
      <c r="N299" s="61"/>
      <c r="O299" s="61"/>
      <c r="P299" s="61"/>
      <c r="Q299" s="61"/>
      <c r="R299" s="61"/>
      <c r="S299" s="61"/>
    </row>
    <row r="300" spans="5:19" x14ac:dyDescent="0.2">
      <c r="E300" s="61"/>
      <c r="F300" s="61"/>
      <c r="G300" s="61"/>
      <c r="H300" s="61"/>
      <c r="I300" s="61"/>
      <c r="J300" s="61"/>
      <c r="K300" s="61"/>
      <c r="L300" s="61"/>
      <c r="M300" s="61"/>
      <c r="N300" s="61"/>
      <c r="O300" s="61"/>
      <c r="P300" s="61"/>
      <c r="Q300" s="61"/>
      <c r="R300" s="61"/>
      <c r="S300" s="61"/>
    </row>
    <row r="301" spans="5:19" x14ac:dyDescent="0.2">
      <c r="E301" s="61"/>
      <c r="F301" s="61"/>
      <c r="G301" s="61"/>
      <c r="H301" s="61"/>
      <c r="I301" s="61"/>
      <c r="J301" s="61"/>
      <c r="K301" s="61"/>
      <c r="L301" s="61"/>
      <c r="M301" s="61"/>
      <c r="N301" s="61"/>
      <c r="O301" s="61"/>
      <c r="P301" s="61"/>
      <c r="Q301" s="61"/>
      <c r="R301" s="61"/>
      <c r="S301" s="61"/>
    </row>
    <row r="302" spans="5:19" x14ac:dyDescent="0.2">
      <c r="E302" s="61"/>
      <c r="F302" s="61"/>
      <c r="G302" s="61"/>
      <c r="H302" s="61"/>
      <c r="I302" s="61"/>
      <c r="J302" s="61"/>
      <c r="K302" s="61"/>
      <c r="L302" s="61"/>
      <c r="M302" s="61"/>
      <c r="N302" s="61"/>
      <c r="O302" s="61"/>
      <c r="P302" s="61"/>
      <c r="Q302" s="61"/>
      <c r="R302" s="61"/>
      <c r="S302" s="61"/>
    </row>
    <row r="303" spans="5:19" x14ac:dyDescent="0.2">
      <c r="E303" s="61"/>
      <c r="F303" s="61"/>
      <c r="G303" s="61"/>
      <c r="H303" s="61"/>
      <c r="I303" s="61"/>
      <c r="J303" s="61"/>
      <c r="K303" s="61"/>
      <c r="L303" s="61"/>
      <c r="M303" s="61"/>
      <c r="N303" s="61"/>
      <c r="O303" s="61"/>
      <c r="P303" s="61"/>
      <c r="Q303" s="61"/>
      <c r="R303" s="61"/>
      <c r="S303" s="61"/>
    </row>
    <row r="304" spans="5:19" x14ac:dyDescent="0.2">
      <c r="E304" s="61"/>
      <c r="F304" s="61"/>
      <c r="G304" s="61"/>
      <c r="H304" s="61"/>
      <c r="I304" s="61"/>
      <c r="J304" s="61"/>
      <c r="K304" s="61"/>
      <c r="L304" s="61"/>
      <c r="M304" s="61"/>
      <c r="N304" s="61"/>
      <c r="O304" s="61"/>
      <c r="P304" s="61"/>
      <c r="Q304" s="61"/>
      <c r="R304" s="61"/>
      <c r="S304" s="61"/>
    </row>
    <row r="305" spans="5:19" x14ac:dyDescent="0.2">
      <c r="E305" s="61"/>
      <c r="F305" s="61"/>
      <c r="G305" s="61"/>
      <c r="H305" s="61"/>
      <c r="I305" s="61"/>
      <c r="J305" s="61"/>
      <c r="K305" s="61"/>
      <c r="L305" s="61"/>
      <c r="M305" s="61"/>
      <c r="N305" s="61"/>
      <c r="O305" s="61"/>
      <c r="P305" s="61"/>
      <c r="Q305" s="61"/>
      <c r="R305" s="61"/>
      <c r="S305" s="61"/>
    </row>
    <row r="306" spans="5:19" x14ac:dyDescent="0.2">
      <c r="E306" s="61"/>
      <c r="F306" s="61"/>
      <c r="G306" s="61"/>
      <c r="H306" s="61"/>
      <c r="I306" s="61"/>
      <c r="J306" s="61"/>
      <c r="K306" s="61"/>
      <c r="L306" s="61"/>
      <c r="M306" s="61"/>
      <c r="N306" s="61"/>
      <c r="O306" s="61"/>
      <c r="P306" s="61"/>
      <c r="Q306" s="61"/>
      <c r="R306" s="61"/>
      <c r="S306" s="61"/>
    </row>
    <row r="307" spans="5:19" x14ac:dyDescent="0.2">
      <c r="E307" s="61"/>
      <c r="F307" s="61"/>
      <c r="G307" s="61"/>
      <c r="H307" s="61"/>
      <c r="I307" s="61"/>
      <c r="J307" s="61"/>
      <c r="K307" s="61"/>
      <c r="L307" s="61"/>
      <c r="M307" s="61"/>
      <c r="N307" s="61"/>
      <c r="O307" s="61"/>
      <c r="P307" s="61"/>
      <c r="Q307" s="61"/>
      <c r="R307" s="61"/>
      <c r="S307" s="61"/>
    </row>
    <row r="308" spans="5:19" x14ac:dyDescent="0.2">
      <c r="E308" s="61"/>
      <c r="F308" s="61"/>
      <c r="G308" s="61"/>
      <c r="H308" s="61"/>
      <c r="I308" s="61"/>
      <c r="J308" s="61"/>
      <c r="K308" s="61"/>
      <c r="L308" s="61"/>
      <c r="M308" s="61"/>
      <c r="N308" s="61"/>
      <c r="O308" s="61"/>
      <c r="P308" s="61"/>
      <c r="Q308" s="61"/>
      <c r="R308" s="61"/>
      <c r="S308" s="61"/>
    </row>
    <row r="309" spans="5:19" x14ac:dyDescent="0.2">
      <c r="E309" s="61"/>
      <c r="F309" s="61"/>
      <c r="G309" s="61"/>
      <c r="H309" s="61"/>
      <c r="I309" s="61"/>
      <c r="J309" s="61"/>
      <c r="K309" s="61"/>
      <c r="L309" s="61"/>
      <c r="M309" s="61"/>
      <c r="N309" s="61"/>
      <c r="O309" s="61"/>
      <c r="P309" s="61"/>
      <c r="Q309" s="61"/>
      <c r="R309" s="61"/>
      <c r="S309" s="61"/>
    </row>
    <row r="310" spans="5:19" x14ac:dyDescent="0.2">
      <c r="E310" s="61"/>
      <c r="F310" s="61"/>
      <c r="G310" s="61"/>
      <c r="H310" s="61"/>
      <c r="I310" s="61"/>
      <c r="J310" s="61"/>
      <c r="K310" s="61"/>
      <c r="L310" s="61"/>
      <c r="M310" s="61"/>
      <c r="N310" s="61"/>
      <c r="O310" s="61"/>
      <c r="P310" s="61"/>
      <c r="Q310" s="61"/>
      <c r="R310" s="61"/>
      <c r="S310" s="61"/>
    </row>
    <row r="311" spans="5:19" x14ac:dyDescent="0.2">
      <c r="E311" s="61"/>
      <c r="F311" s="61"/>
      <c r="G311" s="61"/>
      <c r="H311" s="61"/>
      <c r="I311" s="61"/>
      <c r="J311" s="61"/>
      <c r="K311" s="61"/>
      <c r="L311" s="61"/>
      <c r="M311" s="61"/>
      <c r="N311" s="61"/>
      <c r="O311" s="61"/>
      <c r="P311" s="61"/>
      <c r="Q311" s="61"/>
      <c r="R311" s="61"/>
      <c r="S311" s="61"/>
    </row>
    <row r="312" spans="5:19" x14ac:dyDescent="0.2">
      <c r="E312" s="61"/>
      <c r="F312" s="61"/>
      <c r="G312" s="61"/>
      <c r="H312" s="61"/>
      <c r="I312" s="61"/>
      <c r="J312" s="61"/>
      <c r="K312" s="61"/>
      <c r="L312" s="61"/>
      <c r="M312" s="61"/>
      <c r="N312" s="61"/>
      <c r="O312" s="61"/>
      <c r="P312" s="61"/>
      <c r="Q312" s="61"/>
      <c r="R312" s="61"/>
      <c r="S312" s="61"/>
    </row>
    <row r="313" spans="5:19" x14ac:dyDescent="0.2">
      <c r="E313" s="61"/>
      <c r="F313" s="61"/>
      <c r="G313" s="61"/>
      <c r="H313" s="61"/>
      <c r="I313" s="61"/>
      <c r="J313" s="61"/>
      <c r="K313" s="61"/>
      <c r="L313" s="61"/>
      <c r="M313" s="61"/>
      <c r="N313" s="61"/>
      <c r="O313" s="61"/>
      <c r="P313" s="61"/>
      <c r="Q313" s="61"/>
      <c r="R313" s="61"/>
      <c r="S313" s="61"/>
    </row>
    <row r="314" spans="5:19" x14ac:dyDescent="0.2">
      <c r="E314" s="61"/>
      <c r="F314" s="61"/>
      <c r="G314" s="61"/>
      <c r="H314" s="61"/>
      <c r="I314" s="61"/>
      <c r="J314" s="61"/>
      <c r="K314" s="61"/>
      <c r="L314" s="61"/>
      <c r="M314" s="61"/>
      <c r="N314" s="61"/>
      <c r="O314" s="61"/>
      <c r="P314" s="61"/>
      <c r="Q314" s="61"/>
      <c r="R314" s="61"/>
      <c r="S314" s="61"/>
    </row>
    <row r="315" spans="5:19" x14ac:dyDescent="0.2">
      <c r="E315" s="61"/>
      <c r="F315" s="61"/>
      <c r="G315" s="61"/>
      <c r="H315" s="61"/>
      <c r="I315" s="61"/>
      <c r="J315" s="61"/>
      <c r="K315" s="61"/>
      <c r="L315" s="61"/>
      <c r="M315" s="61"/>
      <c r="N315" s="61"/>
      <c r="O315" s="61"/>
      <c r="P315" s="61"/>
      <c r="Q315" s="61"/>
      <c r="R315" s="61"/>
      <c r="S315" s="61"/>
    </row>
    <row r="316" spans="5:19" x14ac:dyDescent="0.2">
      <c r="E316" s="61"/>
      <c r="F316" s="61"/>
      <c r="G316" s="61"/>
      <c r="H316" s="61"/>
      <c r="I316" s="61"/>
      <c r="J316" s="61"/>
      <c r="K316" s="61"/>
      <c r="L316" s="61"/>
      <c r="M316" s="61"/>
      <c r="N316" s="61"/>
      <c r="O316" s="61"/>
      <c r="P316" s="61"/>
      <c r="Q316" s="61"/>
      <c r="R316" s="61"/>
      <c r="S316" s="61"/>
    </row>
    <row r="317" spans="5:19" x14ac:dyDescent="0.2">
      <c r="E317" s="61"/>
      <c r="F317" s="61"/>
      <c r="G317" s="61"/>
      <c r="H317" s="61"/>
      <c r="I317" s="61"/>
      <c r="J317" s="61"/>
      <c r="K317" s="61"/>
      <c r="L317" s="61"/>
      <c r="M317" s="61"/>
      <c r="N317" s="61"/>
      <c r="O317" s="61"/>
      <c r="P317" s="61"/>
      <c r="Q317" s="61"/>
      <c r="R317" s="61"/>
      <c r="S317" s="61"/>
    </row>
    <row r="318" spans="5:19" x14ac:dyDescent="0.2">
      <c r="E318" s="61"/>
      <c r="F318" s="61"/>
      <c r="G318" s="61"/>
      <c r="H318" s="61"/>
      <c r="I318" s="61"/>
      <c r="J318" s="61"/>
      <c r="K318" s="61"/>
      <c r="L318" s="61"/>
      <c r="M318" s="61"/>
      <c r="N318" s="61"/>
      <c r="O318" s="61"/>
      <c r="P318" s="61"/>
      <c r="Q318" s="61"/>
      <c r="R318" s="61"/>
      <c r="S318" s="61"/>
    </row>
    <row r="319" spans="5:19" x14ac:dyDescent="0.2">
      <c r="E319" s="61"/>
      <c r="F319" s="61"/>
      <c r="G319" s="61"/>
      <c r="H319" s="61"/>
      <c r="I319" s="61"/>
      <c r="J319" s="61"/>
      <c r="K319" s="61"/>
      <c r="L319" s="61"/>
      <c r="M319" s="61"/>
      <c r="N319" s="61"/>
      <c r="O319" s="61"/>
      <c r="P319" s="61"/>
      <c r="Q319" s="61"/>
      <c r="R319" s="61"/>
      <c r="S319" s="61"/>
    </row>
    <row r="320" spans="5:19" x14ac:dyDescent="0.2">
      <c r="E320" s="61"/>
      <c r="F320" s="61"/>
      <c r="G320" s="61"/>
      <c r="H320" s="61"/>
      <c r="I320" s="61"/>
      <c r="J320" s="61"/>
      <c r="K320" s="61"/>
      <c r="L320" s="61"/>
      <c r="M320" s="61"/>
      <c r="N320" s="61"/>
      <c r="O320" s="61"/>
      <c r="P320" s="61"/>
      <c r="Q320" s="61"/>
      <c r="R320" s="61"/>
      <c r="S320" s="61"/>
    </row>
    <row r="321" spans="5:19" x14ac:dyDescent="0.2">
      <c r="E321" s="61"/>
      <c r="F321" s="61"/>
      <c r="G321" s="61"/>
      <c r="H321" s="61"/>
      <c r="I321" s="61"/>
      <c r="J321" s="61"/>
      <c r="K321" s="61"/>
      <c r="L321" s="61"/>
      <c r="M321" s="61"/>
      <c r="N321" s="61"/>
      <c r="O321" s="61"/>
      <c r="P321" s="61"/>
      <c r="Q321" s="61"/>
      <c r="R321" s="61"/>
      <c r="S321" s="61"/>
    </row>
    <row r="322" spans="5:19" x14ac:dyDescent="0.2">
      <c r="E322" s="61"/>
      <c r="F322" s="61"/>
      <c r="G322" s="61"/>
      <c r="H322" s="61"/>
      <c r="I322" s="61"/>
      <c r="J322" s="61"/>
      <c r="K322" s="61"/>
      <c r="L322" s="61"/>
      <c r="M322" s="61"/>
      <c r="N322" s="61"/>
      <c r="O322" s="61"/>
      <c r="P322" s="61"/>
      <c r="Q322" s="61"/>
      <c r="R322" s="61"/>
      <c r="S322" s="61"/>
    </row>
    <row r="323" spans="5:19" x14ac:dyDescent="0.2">
      <c r="E323" s="61"/>
      <c r="F323" s="61"/>
      <c r="G323" s="61"/>
      <c r="H323" s="61"/>
      <c r="I323" s="61"/>
      <c r="J323" s="61"/>
      <c r="K323" s="61"/>
      <c r="L323" s="61"/>
      <c r="M323" s="61"/>
      <c r="N323" s="61"/>
      <c r="O323" s="61"/>
      <c r="P323" s="61"/>
      <c r="Q323" s="61"/>
      <c r="R323" s="61"/>
      <c r="S323" s="61"/>
    </row>
    <row r="324" spans="5:19" x14ac:dyDescent="0.2">
      <c r="E324" s="61"/>
      <c r="F324" s="61"/>
      <c r="G324" s="61"/>
      <c r="H324" s="61"/>
      <c r="I324" s="61"/>
      <c r="J324" s="61"/>
      <c r="K324" s="61"/>
      <c r="L324" s="61"/>
      <c r="M324" s="61"/>
      <c r="N324" s="61"/>
      <c r="O324" s="61"/>
      <c r="P324" s="61"/>
      <c r="Q324" s="61"/>
      <c r="R324" s="61"/>
      <c r="S324" s="61"/>
    </row>
    <row r="325" spans="5:19" x14ac:dyDescent="0.2">
      <c r="E325" s="61"/>
      <c r="F325" s="61"/>
      <c r="G325" s="61"/>
      <c r="H325" s="61"/>
      <c r="I325" s="61"/>
      <c r="J325" s="61"/>
      <c r="K325" s="61"/>
      <c r="L325" s="61"/>
      <c r="M325" s="61"/>
      <c r="N325" s="61"/>
      <c r="O325" s="61"/>
      <c r="P325" s="61"/>
      <c r="Q325" s="61"/>
      <c r="R325" s="61"/>
      <c r="S325" s="61"/>
    </row>
    <row r="326" spans="5:19" x14ac:dyDescent="0.2">
      <c r="E326" s="61"/>
      <c r="F326" s="61"/>
      <c r="G326" s="61"/>
      <c r="H326" s="61"/>
      <c r="I326" s="61"/>
      <c r="J326" s="61"/>
      <c r="K326" s="61"/>
      <c r="L326" s="61"/>
      <c r="M326" s="61"/>
      <c r="N326" s="61"/>
      <c r="O326" s="61"/>
      <c r="P326" s="61"/>
      <c r="Q326" s="61"/>
      <c r="R326" s="61"/>
      <c r="S326" s="61"/>
    </row>
    <row r="327" spans="5:19" x14ac:dyDescent="0.2">
      <c r="E327" s="61"/>
      <c r="F327" s="61"/>
      <c r="G327" s="61"/>
      <c r="H327" s="61"/>
      <c r="I327" s="61"/>
      <c r="J327" s="61"/>
      <c r="K327" s="61"/>
      <c r="L327" s="61"/>
      <c r="M327" s="61"/>
      <c r="N327" s="61"/>
      <c r="O327" s="61"/>
      <c r="P327" s="61"/>
      <c r="Q327" s="61"/>
      <c r="R327" s="61"/>
      <c r="S327" s="61"/>
    </row>
    <row r="328" spans="5:19" x14ac:dyDescent="0.2">
      <c r="E328" s="61"/>
      <c r="F328" s="61"/>
      <c r="G328" s="61"/>
      <c r="H328" s="61"/>
      <c r="I328" s="61"/>
      <c r="J328" s="61"/>
      <c r="K328" s="61"/>
      <c r="L328" s="61"/>
      <c r="M328" s="61"/>
      <c r="N328" s="61"/>
      <c r="O328" s="61"/>
      <c r="P328" s="61"/>
      <c r="Q328" s="61"/>
      <c r="R328" s="61"/>
      <c r="S328" s="61"/>
    </row>
    <row r="329" spans="5:19" x14ac:dyDescent="0.2">
      <c r="E329" s="61"/>
      <c r="F329" s="61"/>
      <c r="G329" s="61"/>
      <c r="H329" s="61"/>
      <c r="I329" s="61"/>
      <c r="J329" s="61"/>
      <c r="K329" s="61"/>
      <c r="L329" s="61"/>
      <c r="M329" s="61"/>
      <c r="N329" s="61"/>
      <c r="O329" s="61"/>
      <c r="P329" s="61"/>
      <c r="Q329" s="61"/>
      <c r="R329" s="61"/>
      <c r="S329" s="61"/>
    </row>
    <row r="330" spans="5:19" x14ac:dyDescent="0.2">
      <c r="E330" s="61"/>
      <c r="F330" s="61"/>
      <c r="G330" s="61"/>
      <c r="H330" s="61"/>
      <c r="I330" s="61"/>
      <c r="J330" s="61"/>
      <c r="K330" s="61"/>
      <c r="L330" s="61"/>
      <c r="M330" s="61"/>
      <c r="N330" s="61"/>
      <c r="O330" s="61"/>
      <c r="P330" s="61"/>
      <c r="Q330" s="61"/>
      <c r="R330" s="61"/>
      <c r="S330" s="61"/>
    </row>
    <row r="331" spans="5:19" x14ac:dyDescent="0.2">
      <c r="E331" s="61"/>
      <c r="F331" s="61"/>
      <c r="G331" s="61"/>
      <c r="H331" s="61"/>
      <c r="I331" s="61"/>
      <c r="J331" s="61"/>
      <c r="K331" s="61"/>
      <c r="L331" s="61"/>
      <c r="M331" s="61"/>
      <c r="N331" s="61"/>
      <c r="O331" s="61"/>
      <c r="P331" s="61"/>
      <c r="Q331" s="61"/>
      <c r="R331" s="61"/>
      <c r="S331" s="61"/>
    </row>
    <row r="332" spans="5:19" x14ac:dyDescent="0.2">
      <c r="E332" s="61"/>
      <c r="F332" s="61"/>
      <c r="G332" s="61"/>
      <c r="H332" s="61"/>
      <c r="I332" s="61"/>
      <c r="J332" s="61"/>
      <c r="K332" s="61"/>
      <c r="L332" s="61"/>
      <c r="M332" s="61"/>
      <c r="N332" s="61"/>
      <c r="O332" s="61"/>
      <c r="P332" s="61"/>
      <c r="Q332" s="61"/>
      <c r="R332" s="61"/>
      <c r="S332" s="61"/>
    </row>
    <row r="333" spans="5:19" x14ac:dyDescent="0.2">
      <c r="E333" s="61"/>
      <c r="F333" s="61"/>
      <c r="G333" s="61"/>
      <c r="H333" s="61"/>
      <c r="I333" s="61"/>
      <c r="J333" s="61"/>
      <c r="K333" s="61"/>
      <c r="L333" s="61"/>
      <c r="M333" s="61"/>
      <c r="N333" s="61"/>
      <c r="O333" s="61"/>
      <c r="P333" s="61"/>
      <c r="Q333" s="61"/>
      <c r="R333" s="61"/>
      <c r="S333" s="61"/>
    </row>
    <row r="334" spans="5:19" x14ac:dyDescent="0.2">
      <c r="E334" s="61"/>
      <c r="F334" s="61"/>
      <c r="G334" s="61"/>
      <c r="H334" s="61"/>
      <c r="I334" s="61"/>
      <c r="J334" s="61"/>
      <c r="K334" s="61"/>
      <c r="L334" s="61"/>
      <c r="M334" s="61"/>
      <c r="N334" s="61"/>
      <c r="O334" s="61"/>
      <c r="P334" s="61"/>
      <c r="Q334" s="61"/>
      <c r="R334" s="61"/>
      <c r="S334" s="61"/>
    </row>
    <row r="335" spans="5:19" x14ac:dyDescent="0.2">
      <c r="E335" s="61"/>
      <c r="F335" s="61"/>
      <c r="G335" s="61"/>
      <c r="H335" s="61"/>
      <c r="I335" s="61"/>
      <c r="J335" s="61"/>
      <c r="K335" s="61"/>
      <c r="L335" s="61"/>
      <c r="M335" s="61"/>
      <c r="N335" s="61"/>
      <c r="O335" s="61"/>
      <c r="P335" s="61"/>
      <c r="Q335" s="61"/>
      <c r="R335" s="61"/>
      <c r="S335" s="61"/>
    </row>
    <row r="336" spans="5:19" x14ac:dyDescent="0.2">
      <c r="E336" s="61"/>
      <c r="F336" s="61"/>
      <c r="G336" s="61"/>
      <c r="H336" s="61"/>
      <c r="I336" s="61"/>
      <c r="J336" s="61"/>
      <c r="K336" s="61"/>
      <c r="L336" s="61"/>
      <c r="M336" s="61"/>
      <c r="N336" s="61"/>
      <c r="O336" s="61"/>
      <c r="P336" s="61"/>
      <c r="Q336" s="61"/>
      <c r="R336" s="61"/>
      <c r="S336" s="61"/>
    </row>
    <row r="337" spans="5:19" x14ac:dyDescent="0.2">
      <c r="E337" s="61"/>
      <c r="F337" s="61"/>
      <c r="G337" s="61"/>
      <c r="H337" s="61"/>
      <c r="I337" s="61"/>
      <c r="J337" s="61"/>
      <c r="K337" s="61"/>
      <c r="L337" s="61"/>
      <c r="M337" s="61"/>
      <c r="N337" s="61"/>
      <c r="O337" s="61"/>
      <c r="P337" s="61"/>
      <c r="Q337" s="61"/>
      <c r="R337" s="61"/>
      <c r="S337" s="61"/>
    </row>
    <row r="338" spans="5:19" x14ac:dyDescent="0.2">
      <c r="E338" s="61"/>
      <c r="F338" s="61"/>
      <c r="G338" s="61"/>
      <c r="H338" s="61"/>
      <c r="I338" s="61"/>
      <c r="J338" s="61"/>
      <c r="K338" s="61"/>
      <c r="L338" s="61"/>
      <c r="M338" s="61"/>
      <c r="N338" s="61"/>
      <c r="O338" s="61"/>
      <c r="P338" s="61"/>
      <c r="Q338" s="61"/>
      <c r="R338" s="61"/>
      <c r="S338" s="61"/>
    </row>
    <row r="339" spans="5:19" x14ac:dyDescent="0.2">
      <c r="E339" s="61"/>
      <c r="F339" s="61"/>
      <c r="G339" s="61"/>
      <c r="H339" s="61"/>
      <c r="I339" s="61"/>
      <c r="J339" s="61"/>
      <c r="K339" s="61"/>
      <c r="L339" s="61"/>
      <c r="M339" s="61"/>
      <c r="N339" s="61"/>
      <c r="O339" s="61"/>
      <c r="P339" s="61"/>
      <c r="Q339" s="61"/>
      <c r="R339" s="61"/>
      <c r="S339" s="61"/>
    </row>
    <row r="340" spans="5:19" x14ac:dyDescent="0.2">
      <c r="E340" s="61"/>
      <c r="F340" s="61"/>
      <c r="G340" s="61"/>
      <c r="H340" s="61"/>
      <c r="I340" s="61"/>
      <c r="J340" s="61"/>
      <c r="K340" s="61"/>
      <c r="L340" s="61"/>
      <c r="M340" s="61"/>
      <c r="N340" s="61"/>
      <c r="O340" s="61"/>
      <c r="P340" s="61"/>
      <c r="Q340" s="61"/>
      <c r="R340" s="61"/>
      <c r="S340" s="61"/>
    </row>
  </sheetData>
  <mergeCells count="40">
    <mergeCell ref="D1:K1"/>
    <mergeCell ref="D2:K2"/>
    <mergeCell ref="D3:K3"/>
    <mergeCell ref="D4:K4"/>
    <mergeCell ref="N195:R195"/>
    <mergeCell ref="A12:D12"/>
    <mergeCell ref="J32:J33"/>
    <mergeCell ref="A35:B35"/>
    <mergeCell ref="A36:B36"/>
    <mergeCell ref="D5:K5"/>
    <mergeCell ref="J7:J8"/>
    <mergeCell ref="K7:K8"/>
    <mergeCell ref="L7:L8"/>
    <mergeCell ref="M7:M8"/>
    <mergeCell ref="K142:M143"/>
    <mergeCell ref="K95:M101"/>
    <mergeCell ref="N230:R230"/>
    <mergeCell ref="U7:V7"/>
    <mergeCell ref="A20:D20"/>
    <mergeCell ref="K32:K33"/>
    <mergeCell ref="L32:L33"/>
    <mergeCell ref="M32:M33"/>
    <mergeCell ref="K223:M223"/>
    <mergeCell ref="A230:D230"/>
    <mergeCell ref="N7:R7"/>
    <mergeCell ref="J195:J196"/>
    <mergeCell ref="A37:B37"/>
    <mergeCell ref="J103:J104"/>
    <mergeCell ref="A220:D220"/>
    <mergeCell ref="K195:K196"/>
    <mergeCell ref="K124:L124"/>
    <mergeCell ref="K56:M62"/>
    <mergeCell ref="K118:L118"/>
    <mergeCell ref="K178:M179"/>
    <mergeCell ref="J230:J231"/>
    <mergeCell ref="K230:K231"/>
    <mergeCell ref="L230:L231"/>
    <mergeCell ref="M230:M231"/>
    <mergeCell ref="L195:L196"/>
    <mergeCell ref="M195:M196"/>
  </mergeCells>
  <conditionalFormatting sqref="F19">
    <cfRule type="expression" dxfId="9" priority="13">
      <formula>F$10=""</formula>
    </cfRule>
  </conditionalFormatting>
  <conditionalFormatting sqref="H19">
    <cfRule type="expression" dxfId="8" priority="9">
      <formula>H$10=""</formula>
    </cfRule>
  </conditionalFormatting>
  <conditionalFormatting sqref="G19">
    <cfRule type="expression" dxfId="7" priority="11">
      <formula>G$10=""</formula>
    </cfRule>
  </conditionalFormatting>
  <conditionalFormatting sqref="I19">
    <cfRule type="expression" dxfId="6" priority="7">
      <formula>I$10=""</formula>
    </cfRule>
  </conditionalFormatting>
  <conditionalFormatting sqref="N218:R218">
    <cfRule type="expression" dxfId="5" priority="6">
      <formula>$I208=0</formula>
    </cfRule>
  </conditionalFormatting>
  <conditionalFormatting sqref="D198:D207">
    <cfRule type="cellIs" dxfId="4" priority="5" operator="equal">
      <formula>"Not Validated"</formula>
    </cfRule>
  </conditionalFormatting>
  <conditionalFormatting sqref="F198:F207">
    <cfRule type="expression" dxfId="3" priority="4">
      <formula>F$10=""</formula>
    </cfRule>
  </conditionalFormatting>
  <conditionalFormatting sqref="H198:H207">
    <cfRule type="expression" dxfId="2" priority="2">
      <formula>H$10=""</formula>
    </cfRule>
  </conditionalFormatting>
  <conditionalFormatting sqref="G198:G207">
    <cfRule type="expression" dxfId="1" priority="3">
      <formula>G$10=""</formula>
    </cfRule>
  </conditionalFormatting>
  <conditionalFormatting sqref="I198:I207">
    <cfRule type="expression" dxfId="0" priority="1">
      <formula>I$10=""</formula>
    </cfRule>
  </conditionalFormatting>
  <dataValidations count="2">
    <dataValidation type="list" allowBlank="1" showInputMessage="1" showErrorMessage="1" sqref="D198:D207">
      <formula1>choices</formula1>
    </dataValidation>
    <dataValidation type="list" allowBlank="1" showInputMessage="1" showErrorMessage="1" sqref="L117">
      <formula1>$V$8:$V$9</formula1>
    </dataValidation>
  </dataValidations>
  <printOptions horizontalCentered="1"/>
  <pageMargins left="0" right="0" top="0.5" bottom="0.25" header="0" footer="0"/>
  <pageSetup scale="75" orientation="portrait" r:id="rId1"/>
  <headerFooter>
    <oddHeader>&amp;LUniversité d'Ottawa/University of Ottawa
Service des immeubles/Physical Resources Service</oddHeader>
    <oddFooter>&amp;L&amp;Z&amp;F&amp;R&amp;D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22" r:id="rId4" name="Option Button 6">
              <controlPr defaultSize="0" autoFill="0" autoLine="0" autoPict="0">
                <anchor moveWithCells="1">
                  <from>
                    <xdr:col>5</xdr:col>
                    <xdr:colOff>0</xdr:colOff>
                    <xdr:row>5</xdr:row>
                    <xdr:rowOff>257175</xdr:rowOff>
                  </from>
                  <to>
                    <xdr:col>10</xdr:col>
                    <xdr:colOff>752475</xdr:colOff>
                    <xdr:row>5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3" r:id="rId5" name="Option Button 7">
              <controlPr defaultSize="0" autoFill="0" autoLine="0" autoPict="0">
                <anchor moveWithCells="1">
                  <from>
                    <xdr:col>10</xdr:col>
                    <xdr:colOff>790575</xdr:colOff>
                    <xdr:row>5</xdr:row>
                    <xdr:rowOff>257175</xdr:rowOff>
                  </from>
                  <to>
                    <xdr:col>11</xdr:col>
                    <xdr:colOff>609600</xdr:colOff>
                    <xdr:row>5</xdr:row>
                    <xdr:rowOff>419100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Q67"/>
  <sheetViews>
    <sheetView showGridLines="0" workbookViewId="0">
      <pane ySplit="5" topLeftCell="A6" activePane="bottomLeft" state="frozen"/>
      <selection activeCell="E71" sqref="E71"/>
      <selection pane="bottomLeft" activeCell="B7" sqref="B7"/>
    </sheetView>
  </sheetViews>
  <sheetFormatPr defaultRowHeight="12.75" x14ac:dyDescent="0.2"/>
  <cols>
    <col min="1" max="1" width="5.7109375" style="18" customWidth="1"/>
    <col min="2" max="2" width="57.140625" style="18" customWidth="1"/>
    <col min="3" max="5" width="14.140625" customWidth="1"/>
    <col min="6" max="6" width="18.140625" customWidth="1"/>
    <col min="7" max="7" width="18.7109375" customWidth="1"/>
    <col min="8" max="8" width="15.140625" customWidth="1"/>
    <col min="9" max="9" width="15.42578125" customWidth="1"/>
    <col min="10" max="10" width="15" bestFit="1" customWidth="1"/>
    <col min="11" max="11" width="15.5703125" customWidth="1"/>
    <col min="12" max="12" width="12.42578125" customWidth="1"/>
    <col min="13" max="13" width="11.140625" customWidth="1"/>
    <col min="15" max="15" width="12.85546875" customWidth="1"/>
    <col min="16" max="16" width="15.28515625" customWidth="1"/>
    <col min="17" max="17" width="19" customWidth="1"/>
  </cols>
  <sheetData>
    <row r="1" spans="1:17" s="50" customFormat="1" x14ac:dyDescent="0.2">
      <c r="A1" s="222"/>
      <c r="B1" s="223">
        <f>+'Document Summary'!B3:D3</f>
        <v>0</v>
      </c>
    </row>
    <row r="2" spans="1:17" s="50" customFormat="1" x14ac:dyDescent="0.2">
      <c r="A2" s="222"/>
      <c r="B2" s="223" t="str">
        <f>+'Document Summary'!B4:D4</f>
        <v>4001WO</v>
      </c>
    </row>
    <row r="3" spans="1:17" x14ac:dyDescent="0.2">
      <c r="A3" s="222"/>
      <c r="B3" s="223" t="str">
        <f>+'Document Summary'!B6:D6</f>
        <v>[project number]</v>
      </c>
      <c r="C3" s="26" t="s">
        <v>72</v>
      </c>
      <c r="D3" s="25" t="s">
        <v>73</v>
      </c>
      <c r="E3" s="24" t="s">
        <v>74</v>
      </c>
      <c r="F3" s="805" t="s">
        <v>21</v>
      </c>
      <c r="G3" s="805"/>
      <c r="H3" s="24" t="s">
        <v>71</v>
      </c>
      <c r="I3" s="24" t="s">
        <v>75</v>
      </c>
      <c r="J3" s="24" t="s">
        <v>76</v>
      </c>
      <c r="K3" s="30" t="s">
        <v>77</v>
      </c>
      <c r="L3" s="25" t="s">
        <v>78</v>
      </c>
      <c r="M3" s="26" t="s">
        <v>22</v>
      </c>
      <c r="N3" s="26" t="s">
        <v>23</v>
      </c>
      <c r="O3" s="34" t="s">
        <v>79</v>
      </c>
      <c r="P3" s="24" t="s">
        <v>80</v>
      </c>
      <c r="Q3" s="30" t="s">
        <v>81</v>
      </c>
    </row>
    <row r="4" spans="1:17" ht="12.75" customHeight="1" x14ac:dyDescent="0.2">
      <c r="A4" s="222"/>
      <c r="B4" s="557">
        <f>+'Document Summary'!B7:D7</f>
        <v>502</v>
      </c>
      <c r="C4" s="807" t="s">
        <v>24</v>
      </c>
      <c r="D4" s="809" t="s">
        <v>70</v>
      </c>
      <c r="E4" s="811" t="s">
        <v>66</v>
      </c>
      <c r="F4" s="806" t="s">
        <v>15</v>
      </c>
      <c r="G4" s="806"/>
      <c r="H4" s="809" t="s">
        <v>26</v>
      </c>
      <c r="I4" s="809" t="s">
        <v>27</v>
      </c>
      <c r="J4" s="809" t="s">
        <v>28</v>
      </c>
      <c r="K4" s="815" t="s">
        <v>29</v>
      </c>
      <c r="L4" s="811" t="s">
        <v>67</v>
      </c>
      <c r="M4" s="49">
        <v>0.1</v>
      </c>
      <c r="N4" s="809" t="s">
        <v>30</v>
      </c>
      <c r="O4" s="817" t="s">
        <v>31</v>
      </c>
      <c r="P4" s="809" t="s">
        <v>32</v>
      </c>
      <c r="Q4" s="815" t="s">
        <v>33</v>
      </c>
    </row>
    <row r="5" spans="1:17" x14ac:dyDescent="0.2">
      <c r="A5" s="222"/>
      <c r="B5" s="223" t="str">
        <f>+'Document Summary'!B5:D5</f>
        <v>N/A</v>
      </c>
      <c r="C5" s="808"/>
      <c r="D5" s="810"/>
      <c r="E5" s="812"/>
      <c r="F5" s="23" t="s">
        <v>13</v>
      </c>
      <c r="G5" s="23" t="s">
        <v>25</v>
      </c>
      <c r="H5" s="810"/>
      <c r="I5" s="810"/>
      <c r="J5" s="810"/>
      <c r="K5" s="816"/>
      <c r="L5" s="812"/>
      <c r="M5" s="48" t="s">
        <v>34</v>
      </c>
      <c r="N5" s="810"/>
      <c r="O5" s="818"/>
      <c r="P5" s="810"/>
      <c r="Q5" s="816"/>
    </row>
    <row r="6" spans="1:17" x14ac:dyDescent="0.2">
      <c r="A6" s="29"/>
      <c r="B6" s="29"/>
      <c r="C6" s="20"/>
      <c r="D6" s="20"/>
      <c r="E6" s="20"/>
      <c r="F6" s="20"/>
      <c r="G6" s="20"/>
      <c r="H6" s="20"/>
      <c r="I6" s="20"/>
      <c r="J6" s="20"/>
      <c r="K6" s="54"/>
      <c r="L6" s="20"/>
      <c r="M6" s="20"/>
      <c r="N6" s="20"/>
      <c r="O6" s="54"/>
      <c r="P6" s="20"/>
      <c r="Q6" s="31"/>
    </row>
    <row r="7" spans="1:17" ht="15" customHeight="1" x14ac:dyDescent="0.2">
      <c r="A7" s="122"/>
      <c r="B7" s="123" t="s">
        <v>131</v>
      </c>
      <c r="C7" s="126"/>
      <c r="D7" s="127"/>
      <c r="E7" s="128"/>
      <c r="F7" s="125"/>
      <c r="G7" s="125"/>
      <c r="H7" s="127"/>
      <c r="I7" s="127"/>
      <c r="J7" s="127"/>
      <c r="K7" s="128"/>
      <c r="L7" s="127"/>
      <c r="M7" s="128"/>
      <c r="N7" s="127"/>
      <c r="O7" s="128"/>
      <c r="P7" s="128"/>
      <c r="Q7" s="129"/>
    </row>
    <row r="8" spans="1:17" x14ac:dyDescent="0.2">
      <c r="A8" s="124">
        <v>1</v>
      </c>
      <c r="B8" s="121" t="s">
        <v>93</v>
      </c>
      <c r="C8" s="16"/>
      <c r="D8" s="16"/>
      <c r="E8" s="27">
        <f>C8-D8</f>
        <v>0</v>
      </c>
      <c r="F8" s="22"/>
      <c r="G8" s="22"/>
      <c r="H8" s="16"/>
      <c r="I8" s="16"/>
      <c r="J8" s="16"/>
      <c r="K8" s="32">
        <f>SUM(H8:J8)</f>
        <v>0</v>
      </c>
      <c r="L8" s="28"/>
      <c r="M8" s="21">
        <f>Holdback*L8</f>
        <v>0</v>
      </c>
      <c r="N8" s="28"/>
      <c r="O8" s="35">
        <f>L8-N8-M8</f>
        <v>0</v>
      </c>
      <c r="P8" s="21">
        <f>D8-K8</f>
        <v>0</v>
      </c>
      <c r="Q8" s="32">
        <f>K8-L8</f>
        <v>0</v>
      </c>
    </row>
    <row r="9" spans="1:17" ht="13.5" thickBot="1" x14ac:dyDescent="0.25">
      <c r="A9" s="216"/>
      <c r="B9" s="217" t="str">
        <f>B7&amp;" Subtotal"</f>
        <v>General Requirements Subtotal</v>
      </c>
      <c r="C9" s="208">
        <f>SUM(C8:C8)</f>
        <v>0</v>
      </c>
      <c r="D9" s="208">
        <f>SUM(D8:D8)</f>
        <v>0</v>
      </c>
      <c r="E9" s="209">
        <f>SUM(E8)</f>
        <v>0</v>
      </c>
      <c r="F9" s="208">
        <f t="shared" ref="F9:Q9" si="0">SUM(F8:F8)</f>
        <v>0</v>
      </c>
      <c r="G9" s="208">
        <f t="shared" si="0"/>
        <v>0</v>
      </c>
      <c r="H9" s="208">
        <f t="shared" si="0"/>
        <v>0</v>
      </c>
      <c r="I9" s="208">
        <f t="shared" si="0"/>
        <v>0</v>
      </c>
      <c r="J9" s="208">
        <f t="shared" si="0"/>
        <v>0</v>
      </c>
      <c r="K9" s="208">
        <f t="shared" si="0"/>
        <v>0</v>
      </c>
      <c r="L9" s="208">
        <f t="shared" si="0"/>
        <v>0</v>
      </c>
      <c r="M9" s="208">
        <f t="shared" si="0"/>
        <v>0</v>
      </c>
      <c r="N9" s="208">
        <f t="shared" si="0"/>
        <v>0</v>
      </c>
      <c r="O9" s="32">
        <f t="shared" si="0"/>
        <v>0</v>
      </c>
      <c r="P9" s="208">
        <f t="shared" si="0"/>
        <v>0</v>
      </c>
      <c r="Q9" s="208">
        <f t="shared" si="0"/>
        <v>0</v>
      </c>
    </row>
    <row r="10" spans="1:17" s="50" customFormat="1" ht="13.5" customHeight="1" thickTop="1" x14ac:dyDescent="0.2">
      <c r="A10" s="122"/>
      <c r="B10" s="123" t="s">
        <v>94</v>
      </c>
      <c r="C10" s="126">
        <f t="shared" ref="C10:Q10" si="1">SUBTOTAL(9,C8:C9)</f>
        <v>0</v>
      </c>
      <c r="D10" s="127">
        <f t="shared" si="1"/>
        <v>0</v>
      </c>
      <c r="E10" s="128">
        <f t="shared" si="1"/>
        <v>0</v>
      </c>
      <c r="F10" s="125">
        <f t="shared" si="1"/>
        <v>0</v>
      </c>
      <c r="G10" s="125">
        <f t="shared" si="1"/>
        <v>0</v>
      </c>
      <c r="H10" s="127">
        <f t="shared" si="1"/>
        <v>0</v>
      </c>
      <c r="I10" s="127">
        <f t="shared" si="1"/>
        <v>0</v>
      </c>
      <c r="J10" s="127">
        <f t="shared" si="1"/>
        <v>0</v>
      </c>
      <c r="K10" s="128">
        <f t="shared" si="1"/>
        <v>0</v>
      </c>
      <c r="L10" s="127">
        <f t="shared" si="1"/>
        <v>0</v>
      </c>
      <c r="M10" s="128">
        <f t="shared" si="1"/>
        <v>0</v>
      </c>
      <c r="N10" s="127">
        <f t="shared" si="1"/>
        <v>0</v>
      </c>
      <c r="O10" s="128">
        <f t="shared" si="1"/>
        <v>0</v>
      </c>
      <c r="P10" s="128">
        <f t="shared" si="1"/>
        <v>0</v>
      </c>
      <c r="Q10" s="129">
        <f t="shared" si="1"/>
        <v>0</v>
      </c>
    </row>
    <row r="11" spans="1:17" s="50" customFormat="1" x14ac:dyDescent="0.2">
      <c r="A11" s="124">
        <v>2</v>
      </c>
      <c r="B11" s="121" t="s">
        <v>95</v>
      </c>
      <c r="C11" s="52"/>
      <c r="D11" s="52"/>
      <c r="E11" s="27">
        <f>C11-D11</f>
        <v>0</v>
      </c>
      <c r="F11" s="22"/>
      <c r="G11" s="22"/>
      <c r="H11" s="52"/>
      <c r="I11" s="52"/>
      <c r="J11" s="52"/>
      <c r="K11" s="32">
        <f>SUM(H11:J11)</f>
        <v>0</v>
      </c>
      <c r="L11" s="28"/>
      <c r="M11" s="55">
        <f t="shared" ref="M11:M23" si="2">Holdback*L11</f>
        <v>0</v>
      </c>
      <c r="N11" s="28"/>
      <c r="O11" s="56">
        <f>L11-N11-M11</f>
        <v>0</v>
      </c>
      <c r="P11" s="55">
        <f>D11-K11</f>
        <v>0</v>
      </c>
      <c r="Q11" s="32">
        <f>K11-L11</f>
        <v>0</v>
      </c>
    </row>
    <row r="12" spans="1:17" s="50" customFormat="1" x14ac:dyDescent="0.2">
      <c r="A12" s="124">
        <v>3</v>
      </c>
      <c r="B12" s="121" t="s">
        <v>16</v>
      </c>
      <c r="C12" s="52"/>
      <c r="D12" s="52"/>
      <c r="E12" s="27">
        <f t="shared" ref="E12:E22" si="3">C12-D12</f>
        <v>0</v>
      </c>
      <c r="F12" s="22"/>
      <c r="G12" s="22"/>
      <c r="H12" s="52"/>
      <c r="I12" s="52"/>
      <c r="J12" s="52"/>
      <c r="K12" s="32">
        <f t="shared" ref="K12:K22" si="4">SUM(H12:J12)</f>
        <v>0</v>
      </c>
      <c r="L12" s="28"/>
      <c r="M12" s="55">
        <f t="shared" si="2"/>
        <v>0</v>
      </c>
      <c r="N12" s="28"/>
      <c r="O12" s="56">
        <f t="shared" ref="O12:O22" si="5">L12-N12-M12</f>
        <v>0</v>
      </c>
      <c r="P12" s="55">
        <f t="shared" ref="P12:P22" si="6">D12-K12</f>
        <v>0</v>
      </c>
      <c r="Q12" s="32">
        <f t="shared" ref="Q12:Q22" si="7">K12-L12</f>
        <v>0</v>
      </c>
    </row>
    <row r="13" spans="1:17" s="50" customFormat="1" x14ac:dyDescent="0.2">
      <c r="A13" s="124">
        <v>4</v>
      </c>
      <c r="B13" s="121" t="s">
        <v>17</v>
      </c>
      <c r="C13" s="52"/>
      <c r="D13" s="52"/>
      <c r="E13" s="27">
        <f t="shared" si="3"/>
        <v>0</v>
      </c>
      <c r="F13" s="22"/>
      <c r="G13" s="22"/>
      <c r="H13" s="52"/>
      <c r="I13" s="52"/>
      <c r="J13" s="52"/>
      <c r="K13" s="32">
        <f t="shared" si="4"/>
        <v>0</v>
      </c>
      <c r="L13" s="28"/>
      <c r="M13" s="55">
        <f t="shared" si="2"/>
        <v>0</v>
      </c>
      <c r="N13" s="28"/>
      <c r="O13" s="56">
        <f t="shared" si="5"/>
        <v>0</v>
      </c>
      <c r="P13" s="55">
        <f t="shared" si="6"/>
        <v>0</v>
      </c>
      <c r="Q13" s="32">
        <f t="shared" si="7"/>
        <v>0</v>
      </c>
    </row>
    <row r="14" spans="1:17" s="50" customFormat="1" x14ac:dyDescent="0.2">
      <c r="A14" s="124">
        <v>5</v>
      </c>
      <c r="B14" s="121" t="s">
        <v>96</v>
      </c>
      <c r="C14" s="52"/>
      <c r="D14" s="52"/>
      <c r="E14" s="27">
        <f t="shared" si="3"/>
        <v>0</v>
      </c>
      <c r="F14" s="22"/>
      <c r="G14" s="22"/>
      <c r="H14" s="52"/>
      <c r="I14" s="52"/>
      <c r="J14" s="52"/>
      <c r="K14" s="32">
        <f t="shared" si="4"/>
        <v>0</v>
      </c>
      <c r="L14" s="28"/>
      <c r="M14" s="55">
        <f t="shared" si="2"/>
        <v>0</v>
      </c>
      <c r="N14" s="28"/>
      <c r="O14" s="56">
        <f t="shared" si="5"/>
        <v>0</v>
      </c>
      <c r="P14" s="55">
        <f t="shared" si="6"/>
        <v>0</v>
      </c>
      <c r="Q14" s="32">
        <f t="shared" si="7"/>
        <v>0</v>
      </c>
    </row>
    <row r="15" spans="1:17" s="50" customFormat="1" x14ac:dyDescent="0.2">
      <c r="A15" s="124">
        <v>6</v>
      </c>
      <c r="B15" s="121" t="s">
        <v>97</v>
      </c>
      <c r="C15" s="52"/>
      <c r="D15" s="52"/>
      <c r="E15" s="27">
        <f t="shared" si="3"/>
        <v>0</v>
      </c>
      <c r="F15" s="22"/>
      <c r="G15" s="22"/>
      <c r="H15" s="52"/>
      <c r="I15" s="52"/>
      <c r="J15" s="52"/>
      <c r="K15" s="32">
        <f t="shared" si="4"/>
        <v>0</v>
      </c>
      <c r="L15" s="28"/>
      <c r="M15" s="55">
        <f t="shared" si="2"/>
        <v>0</v>
      </c>
      <c r="N15" s="28"/>
      <c r="O15" s="56">
        <f t="shared" si="5"/>
        <v>0</v>
      </c>
      <c r="P15" s="55">
        <f t="shared" si="6"/>
        <v>0</v>
      </c>
      <c r="Q15" s="32">
        <f t="shared" si="7"/>
        <v>0</v>
      </c>
    </row>
    <row r="16" spans="1:17" s="50" customFormat="1" x14ac:dyDescent="0.2">
      <c r="A16" s="124">
        <v>7</v>
      </c>
      <c r="B16" s="121" t="s">
        <v>98</v>
      </c>
      <c r="C16" s="52"/>
      <c r="D16" s="52"/>
      <c r="E16" s="27">
        <f t="shared" si="3"/>
        <v>0</v>
      </c>
      <c r="F16" s="22"/>
      <c r="G16" s="22"/>
      <c r="H16" s="52"/>
      <c r="I16" s="52"/>
      <c r="J16" s="52"/>
      <c r="K16" s="32">
        <f t="shared" si="4"/>
        <v>0</v>
      </c>
      <c r="L16" s="28"/>
      <c r="M16" s="55">
        <f t="shared" si="2"/>
        <v>0</v>
      </c>
      <c r="N16" s="28"/>
      <c r="O16" s="56">
        <f t="shared" si="5"/>
        <v>0</v>
      </c>
      <c r="P16" s="55">
        <f t="shared" si="6"/>
        <v>0</v>
      </c>
      <c r="Q16" s="32">
        <f t="shared" si="7"/>
        <v>0</v>
      </c>
    </row>
    <row r="17" spans="1:17" s="50" customFormat="1" x14ac:dyDescent="0.2">
      <c r="A17" s="124">
        <v>8</v>
      </c>
      <c r="B17" s="121" t="s">
        <v>99</v>
      </c>
      <c r="C17" s="52"/>
      <c r="D17" s="52"/>
      <c r="E17" s="27">
        <f t="shared" si="3"/>
        <v>0</v>
      </c>
      <c r="F17" s="22"/>
      <c r="G17" s="22"/>
      <c r="H17" s="52"/>
      <c r="I17" s="52"/>
      <c r="J17" s="52"/>
      <c r="K17" s="32">
        <f t="shared" si="4"/>
        <v>0</v>
      </c>
      <c r="L17" s="28"/>
      <c r="M17" s="55">
        <f t="shared" si="2"/>
        <v>0</v>
      </c>
      <c r="N17" s="28"/>
      <c r="O17" s="56">
        <f t="shared" si="5"/>
        <v>0</v>
      </c>
      <c r="P17" s="55">
        <f t="shared" si="6"/>
        <v>0</v>
      </c>
      <c r="Q17" s="32">
        <f t="shared" si="7"/>
        <v>0</v>
      </c>
    </row>
    <row r="18" spans="1:17" s="50" customFormat="1" x14ac:dyDescent="0.2">
      <c r="A18" s="124">
        <v>9</v>
      </c>
      <c r="B18" s="121" t="s">
        <v>100</v>
      </c>
      <c r="C18" s="52"/>
      <c r="D18" s="52"/>
      <c r="E18" s="27">
        <f t="shared" si="3"/>
        <v>0</v>
      </c>
      <c r="F18" s="22"/>
      <c r="G18" s="22"/>
      <c r="H18" s="52"/>
      <c r="I18" s="52"/>
      <c r="J18" s="52"/>
      <c r="K18" s="32">
        <f t="shared" si="4"/>
        <v>0</v>
      </c>
      <c r="L18" s="28"/>
      <c r="M18" s="55">
        <f t="shared" si="2"/>
        <v>0</v>
      </c>
      <c r="N18" s="28"/>
      <c r="O18" s="56">
        <f t="shared" si="5"/>
        <v>0</v>
      </c>
      <c r="P18" s="55">
        <f t="shared" si="6"/>
        <v>0</v>
      </c>
      <c r="Q18" s="32">
        <f t="shared" si="7"/>
        <v>0</v>
      </c>
    </row>
    <row r="19" spans="1:17" s="50" customFormat="1" x14ac:dyDescent="0.2">
      <c r="A19" s="124">
        <v>10</v>
      </c>
      <c r="B19" s="121" t="s">
        <v>18</v>
      </c>
      <c r="C19" s="52"/>
      <c r="D19" s="52"/>
      <c r="E19" s="27">
        <f t="shared" si="3"/>
        <v>0</v>
      </c>
      <c r="F19" s="22"/>
      <c r="G19" s="22"/>
      <c r="H19" s="52"/>
      <c r="I19" s="52"/>
      <c r="J19" s="52"/>
      <c r="K19" s="32">
        <f t="shared" si="4"/>
        <v>0</v>
      </c>
      <c r="L19" s="28"/>
      <c r="M19" s="55">
        <f t="shared" si="2"/>
        <v>0</v>
      </c>
      <c r="N19" s="28"/>
      <c r="O19" s="56">
        <f t="shared" si="5"/>
        <v>0</v>
      </c>
      <c r="P19" s="55">
        <f t="shared" si="6"/>
        <v>0</v>
      </c>
      <c r="Q19" s="32">
        <f t="shared" si="7"/>
        <v>0</v>
      </c>
    </row>
    <row r="20" spans="1:17" s="50" customFormat="1" x14ac:dyDescent="0.2">
      <c r="A20" s="124">
        <v>11</v>
      </c>
      <c r="B20" s="121" t="s">
        <v>101</v>
      </c>
      <c r="C20" s="52"/>
      <c r="D20" s="52"/>
      <c r="E20" s="27">
        <f t="shared" si="3"/>
        <v>0</v>
      </c>
      <c r="F20" s="22"/>
      <c r="G20" s="22"/>
      <c r="H20" s="52"/>
      <c r="I20" s="52"/>
      <c r="J20" s="52"/>
      <c r="K20" s="32">
        <f t="shared" si="4"/>
        <v>0</v>
      </c>
      <c r="L20" s="28"/>
      <c r="M20" s="55">
        <f t="shared" si="2"/>
        <v>0</v>
      </c>
      <c r="N20" s="28"/>
      <c r="O20" s="56">
        <f t="shared" si="5"/>
        <v>0</v>
      </c>
      <c r="P20" s="55">
        <f t="shared" si="6"/>
        <v>0</v>
      </c>
      <c r="Q20" s="32">
        <f t="shared" si="7"/>
        <v>0</v>
      </c>
    </row>
    <row r="21" spans="1:17" s="50" customFormat="1" x14ac:dyDescent="0.2">
      <c r="A21" s="124">
        <v>12</v>
      </c>
      <c r="B21" s="121" t="s">
        <v>102</v>
      </c>
      <c r="C21" s="52"/>
      <c r="D21" s="52"/>
      <c r="E21" s="27">
        <f t="shared" si="3"/>
        <v>0</v>
      </c>
      <c r="F21" s="22"/>
      <c r="G21" s="22"/>
      <c r="H21" s="52"/>
      <c r="I21" s="52"/>
      <c r="J21" s="52"/>
      <c r="K21" s="32">
        <f t="shared" si="4"/>
        <v>0</v>
      </c>
      <c r="L21" s="28"/>
      <c r="M21" s="55">
        <f t="shared" si="2"/>
        <v>0</v>
      </c>
      <c r="N21" s="28"/>
      <c r="O21" s="56">
        <f t="shared" si="5"/>
        <v>0</v>
      </c>
      <c r="P21" s="55">
        <f t="shared" si="6"/>
        <v>0</v>
      </c>
      <c r="Q21" s="32">
        <f t="shared" si="7"/>
        <v>0</v>
      </c>
    </row>
    <row r="22" spans="1:17" s="50" customFormat="1" x14ac:dyDescent="0.2">
      <c r="A22" s="124">
        <v>13</v>
      </c>
      <c r="B22" s="121" t="s">
        <v>19</v>
      </c>
      <c r="C22" s="52"/>
      <c r="D22" s="52"/>
      <c r="E22" s="27">
        <f t="shared" si="3"/>
        <v>0</v>
      </c>
      <c r="F22" s="22"/>
      <c r="G22" s="22"/>
      <c r="H22" s="52"/>
      <c r="I22" s="52"/>
      <c r="J22" s="52"/>
      <c r="K22" s="32">
        <f t="shared" si="4"/>
        <v>0</v>
      </c>
      <c r="L22" s="28"/>
      <c r="M22" s="55">
        <f t="shared" si="2"/>
        <v>0</v>
      </c>
      <c r="N22" s="28"/>
      <c r="O22" s="56">
        <f t="shared" si="5"/>
        <v>0</v>
      </c>
      <c r="P22" s="55">
        <f t="shared" si="6"/>
        <v>0</v>
      </c>
      <c r="Q22" s="32">
        <f t="shared" si="7"/>
        <v>0</v>
      </c>
    </row>
    <row r="23" spans="1:17" s="50" customFormat="1" x14ac:dyDescent="0.2">
      <c r="A23" s="124">
        <v>14</v>
      </c>
      <c r="B23" s="121" t="s">
        <v>103</v>
      </c>
      <c r="C23" s="52"/>
      <c r="D23" s="52"/>
      <c r="E23" s="27">
        <f>C23-D23</f>
        <v>0</v>
      </c>
      <c r="F23" s="22"/>
      <c r="G23" s="22"/>
      <c r="H23" s="52"/>
      <c r="I23" s="52"/>
      <c r="J23" s="52"/>
      <c r="K23" s="32">
        <f>SUM(H23:J23)</f>
        <v>0</v>
      </c>
      <c r="L23" s="28"/>
      <c r="M23" s="55">
        <f t="shared" si="2"/>
        <v>0</v>
      </c>
      <c r="N23" s="28"/>
      <c r="O23" s="56">
        <f>L23-N23-M23</f>
        <v>0</v>
      </c>
      <c r="P23" s="55">
        <f>D23-K23</f>
        <v>0</v>
      </c>
      <c r="Q23" s="32">
        <f>K23-L23</f>
        <v>0</v>
      </c>
    </row>
    <row r="24" spans="1:17" s="50" customFormat="1" ht="13.5" thickBot="1" x14ac:dyDescent="0.25">
      <c r="A24" s="216"/>
      <c r="B24" s="217" t="str">
        <f>B10&amp;" Subtotal"</f>
        <v>Facility Construction Subtotal</v>
      </c>
      <c r="C24" s="208">
        <f>SUBTOTAL(9,C11:C23)</f>
        <v>0</v>
      </c>
      <c r="D24" s="208">
        <f>SUBTOTAL(9,D11:D23)</f>
        <v>0</v>
      </c>
      <c r="E24" s="209">
        <f>SUBTOTAL(9,E11:E23)</f>
        <v>0</v>
      </c>
      <c r="F24" s="208"/>
      <c r="G24" s="208"/>
      <c r="H24" s="208">
        <f t="shared" ref="H24:Q24" si="8">SUBTOTAL(9,H11:H23)</f>
        <v>0</v>
      </c>
      <c r="I24" s="208">
        <f t="shared" si="8"/>
        <v>0</v>
      </c>
      <c r="J24" s="208">
        <f t="shared" si="8"/>
        <v>0</v>
      </c>
      <c r="K24" s="208">
        <f t="shared" si="8"/>
        <v>0</v>
      </c>
      <c r="L24" s="208">
        <f t="shared" si="8"/>
        <v>0</v>
      </c>
      <c r="M24" s="208">
        <f t="shared" si="8"/>
        <v>0</v>
      </c>
      <c r="N24" s="208">
        <f t="shared" si="8"/>
        <v>0</v>
      </c>
      <c r="O24" s="32">
        <f t="shared" si="8"/>
        <v>0</v>
      </c>
      <c r="P24" s="208">
        <f t="shared" si="8"/>
        <v>0</v>
      </c>
      <c r="Q24" s="208">
        <f t="shared" si="8"/>
        <v>0</v>
      </c>
    </row>
    <row r="25" spans="1:17" ht="13.5" thickTop="1" x14ac:dyDescent="0.2">
      <c r="A25" s="122"/>
      <c r="B25" s="123" t="s">
        <v>104</v>
      </c>
      <c r="C25" s="210"/>
      <c r="D25" s="211"/>
      <c r="E25" s="212"/>
      <c r="F25" s="211"/>
      <c r="G25" s="211"/>
      <c r="H25" s="211"/>
      <c r="I25" s="211"/>
      <c r="J25" s="211"/>
      <c r="K25" s="212"/>
      <c r="L25" s="211"/>
      <c r="M25" s="212"/>
      <c r="N25" s="211"/>
      <c r="O25" s="212"/>
      <c r="P25" s="212"/>
      <c r="Q25" s="213"/>
    </row>
    <row r="26" spans="1:17" x14ac:dyDescent="0.2">
      <c r="A26" s="124">
        <v>21</v>
      </c>
      <c r="B26" s="121" t="s">
        <v>105</v>
      </c>
      <c r="C26" s="16"/>
      <c r="D26" s="16"/>
      <c r="E26" s="27">
        <f t="shared" ref="E26:E32" si="9">C26-D26</f>
        <v>0</v>
      </c>
      <c r="F26" s="22"/>
      <c r="G26" s="22"/>
      <c r="H26" s="16"/>
      <c r="I26" s="16"/>
      <c r="J26" s="16"/>
      <c r="K26" s="32">
        <f t="shared" ref="K26:K32" si="10">SUM(H26:J26)</f>
        <v>0</v>
      </c>
      <c r="L26" s="28"/>
      <c r="M26" s="21">
        <f>Holdback*L26</f>
        <v>0</v>
      </c>
      <c r="N26" s="28"/>
      <c r="O26" s="56">
        <f>L26-N26-M26</f>
        <v>0</v>
      </c>
      <c r="P26" s="21">
        <f>D26-K26</f>
        <v>0</v>
      </c>
      <c r="Q26" s="32">
        <f>K26-L26</f>
        <v>0</v>
      </c>
    </row>
    <row r="27" spans="1:17" x14ac:dyDescent="0.2">
      <c r="A27" s="124">
        <v>22</v>
      </c>
      <c r="B27" s="121" t="s">
        <v>106</v>
      </c>
      <c r="C27" s="16"/>
      <c r="D27" s="16"/>
      <c r="E27" s="27">
        <f t="shared" si="9"/>
        <v>0</v>
      </c>
      <c r="F27" s="22"/>
      <c r="G27" s="22"/>
      <c r="H27" s="16"/>
      <c r="I27" s="16"/>
      <c r="J27" s="16"/>
      <c r="K27" s="32">
        <f t="shared" si="10"/>
        <v>0</v>
      </c>
      <c r="L27" s="28"/>
      <c r="M27" s="21">
        <f>Holdback*L27</f>
        <v>0</v>
      </c>
      <c r="N27" s="28"/>
      <c r="O27" s="56">
        <f>L27-N27-M27</f>
        <v>0</v>
      </c>
      <c r="P27" s="21">
        <f>D27-K27</f>
        <v>0</v>
      </c>
      <c r="Q27" s="32">
        <f>K27-L27</f>
        <v>0</v>
      </c>
    </row>
    <row r="28" spans="1:17" s="50" customFormat="1" x14ac:dyDescent="0.2">
      <c r="A28" s="124">
        <v>23</v>
      </c>
      <c r="B28" s="121" t="s">
        <v>107</v>
      </c>
      <c r="C28" s="52"/>
      <c r="D28" s="52"/>
      <c r="E28" s="27"/>
      <c r="F28" s="22"/>
      <c r="G28" s="22"/>
      <c r="H28" s="52"/>
      <c r="I28" s="52"/>
      <c r="J28" s="52"/>
      <c r="K28" s="32"/>
      <c r="L28" s="28"/>
      <c r="M28" s="55"/>
      <c r="N28" s="28"/>
      <c r="O28" s="56"/>
      <c r="P28" s="55"/>
      <c r="Q28" s="32"/>
    </row>
    <row r="29" spans="1:17" s="50" customFormat="1" x14ac:dyDescent="0.2">
      <c r="A29" s="124">
        <v>25</v>
      </c>
      <c r="B29" s="121" t="s">
        <v>108</v>
      </c>
      <c r="C29" s="52"/>
      <c r="D29" s="52"/>
      <c r="E29" s="27"/>
      <c r="F29" s="22"/>
      <c r="G29" s="22"/>
      <c r="H29" s="52"/>
      <c r="I29" s="52"/>
      <c r="J29" s="52"/>
      <c r="K29" s="32"/>
      <c r="L29" s="28"/>
      <c r="M29" s="55"/>
      <c r="N29" s="28"/>
      <c r="O29" s="56"/>
      <c r="P29" s="55"/>
      <c r="Q29" s="32"/>
    </row>
    <row r="30" spans="1:17" s="50" customFormat="1" x14ac:dyDescent="0.2">
      <c r="A30" s="124">
        <v>26</v>
      </c>
      <c r="B30" s="121" t="s">
        <v>20</v>
      </c>
      <c r="C30" s="52"/>
      <c r="D30" s="52"/>
      <c r="E30" s="27"/>
      <c r="F30" s="22"/>
      <c r="G30" s="22"/>
      <c r="H30" s="52"/>
      <c r="I30" s="52"/>
      <c r="J30" s="52"/>
      <c r="K30" s="32"/>
      <c r="L30" s="28"/>
      <c r="M30" s="55"/>
      <c r="N30" s="28"/>
      <c r="O30" s="56"/>
      <c r="P30" s="55"/>
      <c r="Q30" s="32"/>
    </row>
    <row r="31" spans="1:17" s="50" customFormat="1" x14ac:dyDescent="0.2">
      <c r="A31" s="124">
        <v>27</v>
      </c>
      <c r="B31" s="121" t="s">
        <v>109</v>
      </c>
      <c r="C31" s="52"/>
      <c r="D31" s="52"/>
      <c r="E31" s="27"/>
      <c r="F31" s="22"/>
      <c r="G31" s="22"/>
      <c r="H31" s="52"/>
      <c r="I31" s="52"/>
      <c r="J31" s="52"/>
      <c r="K31" s="32"/>
      <c r="L31" s="28"/>
      <c r="M31" s="55"/>
      <c r="N31" s="28"/>
      <c r="O31" s="56"/>
      <c r="P31" s="55"/>
      <c r="Q31" s="32"/>
    </row>
    <row r="32" spans="1:17" x14ac:dyDescent="0.2">
      <c r="A32" s="124">
        <v>28</v>
      </c>
      <c r="B32" s="121" t="s">
        <v>110</v>
      </c>
      <c r="C32" s="16"/>
      <c r="D32" s="16"/>
      <c r="E32" s="27">
        <f t="shared" si="9"/>
        <v>0</v>
      </c>
      <c r="F32" s="22"/>
      <c r="G32" s="22"/>
      <c r="H32" s="16"/>
      <c r="I32" s="16"/>
      <c r="J32" s="16"/>
      <c r="K32" s="32">
        <f t="shared" si="10"/>
        <v>0</v>
      </c>
      <c r="L32" s="28"/>
      <c r="M32" s="21">
        <f>Holdback*L32</f>
        <v>0</v>
      </c>
      <c r="N32" s="28"/>
      <c r="O32" s="56">
        <f>L32-N32-M32</f>
        <v>0</v>
      </c>
      <c r="P32" s="21">
        <f>D32-K32</f>
        <v>0</v>
      </c>
      <c r="Q32" s="32">
        <f>K32-L32</f>
        <v>0</v>
      </c>
    </row>
    <row r="33" spans="1:17" s="50" customFormat="1" ht="13.5" thickBot="1" x14ac:dyDescent="0.25">
      <c r="A33" s="216"/>
      <c r="B33" s="217" t="str">
        <f>B25&amp;" Subtotal"</f>
        <v>Facility Services Subtotal</v>
      </c>
      <c r="C33" s="208">
        <f>SUBTOTAL(9,C26:C32)</f>
        <v>0</v>
      </c>
      <c r="D33" s="208">
        <f t="shared" ref="D33:Q33" si="11">SUBTOTAL(9,D26:D32)</f>
        <v>0</v>
      </c>
      <c r="E33" s="209">
        <f t="shared" si="11"/>
        <v>0</v>
      </c>
      <c r="F33" s="208">
        <f t="shared" si="11"/>
        <v>0</v>
      </c>
      <c r="G33" s="208">
        <f t="shared" si="11"/>
        <v>0</v>
      </c>
      <c r="H33" s="208">
        <f t="shared" si="11"/>
        <v>0</v>
      </c>
      <c r="I33" s="208">
        <f t="shared" si="11"/>
        <v>0</v>
      </c>
      <c r="J33" s="208">
        <f t="shared" si="11"/>
        <v>0</v>
      </c>
      <c r="K33" s="208">
        <f t="shared" si="11"/>
        <v>0</v>
      </c>
      <c r="L33" s="208">
        <f t="shared" si="11"/>
        <v>0</v>
      </c>
      <c r="M33" s="208">
        <f t="shared" si="11"/>
        <v>0</v>
      </c>
      <c r="N33" s="208">
        <f t="shared" si="11"/>
        <v>0</v>
      </c>
      <c r="O33" s="32">
        <f t="shared" si="11"/>
        <v>0</v>
      </c>
      <c r="P33" s="208">
        <f t="shared" si="11"/>
        <v>0</v>
      </c>
      <c r="Q33" s="208">
        <f t="shared" si="11"/>
        <v>0</v>
      </c>
    </row>
    <row r="34" spans="1:17" ht="13.5" thickTop="1" x14ac:dyDescent="0.2">
      <c r="A34" s="122"/>
      <c r="B34" s="123" t="s">
        <v>111</v>
      </c>
      <c r="C34" s="210"/>
      <c r="D34" s="211"/>
      <c r="E34" s="212"/>
      <c r="F34" s="211"/>
      <c r="G34" s="211"/>
      <c r="H34" s="211"/>
      <c r="I34" s="211"/>
      <c r="J34" s="211"/>
      <c r="K34" s="212"/>
      <c r="L34" s="211"/>
      <c r="M34" s="212"/>
      <c r="N34" s="211"/>
      <c r="O34" s="212"/>
      <c r="P34" s="212"/>
      <c r="Q34" s="213"/>
    </row>
    <row r="35" spans="1:17" x14ac:dyDescent="0.2">
      <c r="A35" s="124">
        <v>31</v>
      </c>
      <c r="B35" s="121" t="s">
        <v>112</v>
      </c>
      <c r="C35" s="16"/>
      <c r="D35" s="16"/>
      <c r="E35" s="27">
        <f>C35-D35</f>
        <v>0</v>
      </c>
      <c r="F35" s="22"/>
      <c r="G35" s="22"/>
      <c r="H35" s="16"/>
      <c r="I35" s="16"/>
      <c r="J35" s="16"/>
      <c r="K35" s="32">
        <f>SUM(H35:J35)</f>
        <v>0</v>
      </c>
      <c r="L35" s="28"/>
      <c r="M35" s="21">
        <f>Holdback*L35</f>
        <v>0</v>
      </c>
      <c r="N35" s="28"/>
      <c r="O35" s="56">
        <f>L35-N35-M35</f>
        <v>0</v>
      </c>
      <c r="P35" s="21">
        <f>D35-K35</f>
        <v>0</v>
      </c>
      <c r="Q35" s="32">
        <f>K35-L35</f>
        <v>0</v>
      </c>
    </row>
    <row r="36" spans="1:17" x14ac:dyDescent="0.2">
      <c r="A36" s="124">
        <v>32</v>
      </c>
      <c r="B36" s="121" t="s">
        <v>113</v>
      </c>
      <c r="C36" s="16"/>
      <c r="D36" s="16"/>
      <c r="E36" s="27">
        <f>C36-D36</f>
        <v>0</v>
      </c>
      <c r="F36" s="22"/>
      <c r="G36" s="22"/>
      <c r="H36" s="16"/>
      <c r="I36" s="16"/>
      <c r="J36" s="16"/>
      <c r="K36" s="32">
        <f>SUM(H36:J36)</f>
        <v>0</v>
      </c>
      <c r="L36" s="28"/>
      <c r="M36" s="21">
        <f>Holdback*L36</f>
        <v>0</v>
      </c>
      <c r="N36" s="28"/>
      <c r="O36" s="56">
        <f>L36-N36-M36</f>
        <v>0</v>
      </c>
      <c r="P36" s="21">
        <f>D36-K36</f>
        <v>0</v>
      </c>
      <c r="Q36" s="32">
        <f>K36-L36</f>
        <v>0</v>
      </c>
    </row>
    <row r="37" spans="1:17" s="50" customFormat="1" x14ac:dyDescent="0.2">
      <c r="A37" s="124">
        <v>33</v>
      </c>
      <c r="B37" s="121" t="s">
        <v>114</v>
      </c>
      <c r="C37" s="52"/>
      <c r="D37" s="52"/>
      <c r="E37" s="27"/>
      <c r="F37" s="22"/>
      <c r="G37" s="22"/>
      <c r="H37" s="52"/>
      <c r="I37" s="52"/>
      <c r="J37" s="52"/>
      <c r="K37" s="32"/>
      <c r="L37" s="28"/>
      <c r="M37" s="55"/>
      <c r="N37" s="28"/>
      <c r="O37" s="56"/>
      <c r="P37" s="55"/>
      <c r="Q37" s="32"/>
    </row>
    <row r="38" spans="1:17" s="50" customFormat="1" x14ac:dyDescent="0.2">
      <c r="A38" s="124">
        <v>34</v>
      </c>
      <c r="B38" s="121" t="s">
        <v>115</v>
      </c>
      <c r="C38" s="52"/>
      <c r="D38" s="52"/>
      <c r="E38" s="27"/>
      <c r="F38" s="22"/>
      <c r="G38" s="22"/>
      <c r="H38" s="52"/>
      <c r="I38" s="52"/>
      <c r="J38" s="52"/>
      <c r="K38" s="32"/>
      <c r="L38" s="28"/>
      <c r="M38" s="55"/>
      <c r="N38" s="28"/>
      <c r="O38" s="56"/>
      <c r="P38" s="55"/>
      <c r="Q38" s="32"/>
    </row>
    <row r="39" spans="1:17" x14ac:dyDescent="0.2">
      <c r="A39" s="124">
        <v>35</v>
      </c>
      <c r="B39" s="121" t="s">
        <v>116</v>
      </c>
      <c r="C39" s="16"/>
      <c r="D39" s="16"/>
      <c r="E39" s="27">
        <f>C39-D39</f>
        <v>0</v>
      </c>
      <c r="F39" s="22"/>
      <c r="G39" s="22"/>
      <c r="H39" s="16"/>
      <c r="I39" s="16"/>
      <c r="J39" s="16"/>
      <c r="K39" s="32">
        <f>SUM(H39:J39)</f>
        <v>0</v>
      </c>
      <c r="L39" s="28"/>
      <c r="M39" s="21">
        <f>Holdback*L39</f>
        <v>0</v>
      </c>
      <c r="N39" s="28"/>
      <c r="O39" s="56">
        <f>L39-N39-M39</f>
        <v>0</v>
      </c>
      <c r="P39" s="21">
        <f>D39-K39</f>
        <v>0</v>
      </c>
      <c r="Q39" s="32">
        <f>K39-L39</f>
        <v>0</v>
      </c>
    </row>
    <row r="40" spans="1:17" s="50" customFormat="1" ht="13.5" thickBot="1" x14ac:dyDescent="0.25">
      <c r="A40" s="216"/>
      <c r="B40" s="217" t="str">
        <f>B34&amp;" Subtotal"</f>
        <v>Site and Infrastructure  Subtotal</v>
      </c>
      <c r="C40" s="208">
        <f>SUBTOTAL(9,C35:C39)</f>
        <v>0</v>
      </c>
      <c r="D40" s="208">
        <f t="shared" ref="D40:Q40" si="12">SUBTOTAL(9,D35:D39)</f>
        <v>0</v>
      </c>
      <c r="E40" s="209">
        <f t="shared" si="12"/>
        <v>0</v>
      </c>
      <c r="F40" s="208">
        <f t="shared" si="12"/>
        <v>0</v>
      </c>
      <c r="G40" s="208">
        <f t="shared" si="12"/>
        <v>0</v>
      </c>
      <c r="H40" s="208">
        <f t="shared" si="12"/>
        <v>0</v>
      </c>
      <c r="I40" s="208">
        <f t="shared" si="12"/>
        <v>0</v>
      </c>
      <c r="J40" s="208">
        <f t="shared" si="12"/>
        <v>0</v>
      </c>
      <c r="K40" s="208">
        <f t="shared" si="12"/>
        <v>0</v>
      </c>
      <c r="L40" s="208">
        <f t="shared" si="12"/>
        <v>0</v>
      </c>
      <c r="M40" s="208">
        <f t="shared" si="12"/>
        <v>0</v>
      </c>
      <c r="N40" s="208">
        <f t="shared" si="12"/>
        <v>0</v>
      </c>
      <c r="O40" s="32">
        <f t="shared" si="12"/>
        <v>0</v>
      </c>
      <c r="P40" s="208">
        <f t="shared" si="12"/>
        <v>0</v>
      </c>
      <c r="Q40" s="208">
        <f t="shared" si="12"/>
        <v>0</v>
      </c>
    </row>
    <row r="41" spans="1:17" ht="13.5" thickTop="1" x14ac:dyDescent="0.2">
      <c r="A41" s="122"/>
      <c r="B41" s="123" t="s">
        <v>111</v>
      </c>
      <c r="C41" s="210"/>
      <c r="D41" s="211"/>
      <c r="E41" s="212"/>
      <c r="F41" s="211"/>
      <c r="G41" s="211"/>
      <c r="H41" s="211"/>
      <c r="I41" s="211"/>
      <c r="J41" s="211"/>
      <c r="K41" s="212"/>
      <c r="L41" s="211"/>
      <c r="M41" s="212"/>
      <c r="N41" s="211"/>
      <c r="O41" s="212"/>
      <c r="P41" s="212"/>
      <c r="Q41" s="213"/>
    </row>
    <row r="42" spans="1:17" x14ac:dyDescent="0.2">
      <c r="A42" s="124">
        <v>40</v>
      </c>
      <c r="B42" s="121" t="s">
        <v>117</v>
      </c>
      <c r="C42" s="16"/>
      <c r="D42" s="16"/>
      <c r="E42" s="27">
        <f t="shared" ref="E42:E48" si="13">C42-D42</f>
        <v>0</v>
      </c>
      <c r="F42" s="22"/>
      <c r="G42" s="22"/>
      <c r="H42" s="16"/>
      <c r="I42" s="16"/>
      <c r="J42" s="16"/>
      <c r="K42" s="32">
        <f t="shared" ref="K42:K48" si="14">SUM(H42:J42)</f>
        <v>0</v>
      </c>
      <c r="L42" s="28"/>
      <c r="M42" s="21">
        <f>Holdback*L42</f>
        <v>0</v>
      </c>
      <c r="N42" s="28"/>
      <c r="O42" s="56">
        <f>L42-N42-M42</f>
        <v>0</v>
      </c>
      <c r="P42" s="21">
        <f>D42-K42</f>
        <v>0</v>
      </c>
      <c r="Q42" s="32">
        <f>K42-L42</f>
        <v>0</v>
      </c>
    </row>
    <row r="43" spans="1:17" x14ac:dyDescent="0.2">
      <c r="A43" s="124">
        <v>41</v>
      </c>
      <c r="B43" s="121" t="s">
        <v>118</v>
      </c>
      <c r="C43" s="16"/>
      <c r="D43" s="16"/>
      <c r="E43" s="27">
        <f t="shared" si="13"/>
        <v>0</v>
      </c>
      <c r="F43" s="22"/>
      <c r="G43" s="22"/>
      <c r="H43" s="16"/>
      <c r="I43" s="16"/>
      <c r="J43" s="16"/>
      <c r="K43" s="32">
        <f t="shared" si="14"/>
        <v>0</v>
      </c>
      <c r="L43" s="28"/>
      <c r="M43" s="21">
        <f>Holdback*L43</f>
        <v>0</v>
      </c>
      <c r="N43" s="28"/>
      <c r="O43" s="56">
        <f>L43-N43-M43</f>
        <v>0</v>
      </c>
      <c r="P43" s="21">
        <f>D43-K43</f>
        <v>0</v>
      </c>
      <c r="Q43" s="32">
        <f>K43-L43</f>
        <v>0</v>
      </c>
    </row>
    <row r="44" spans="1:17" s="50" customFormat="1" x14ac:dyDescent="0.2">
      <c r="A44" s="124">
        <v>42</v>
      </c>
      <c r="B44" s="121" t="s">
        <v>119</v>
      </c>
      <c r="C44" s="52"/>
      <c r="D44" s="52"/>
      <c r="E44" s="27">
        <f t="shared" si="13"/>
        <v>0</v>
      </c>
      <c r="F44" s="22"/>
      <c r="G44" s="22"/>
      <c r="H44" s="52"/>
      <c r="I44" s="52"/>
      <c r="J44" s="52"/>
      <c r="K44" s="32"/>
      <c r="L44" s="28"/>
      <c r="M44" s="55"/>
      <c r="N44" s="28"/>
      <c r="O44" s="56"/>
      <c r="P44" s="55"/>
      <c r="Q44" s="32"/>
    </row>
    <row r="45" spans="1:17" s="50" customFormat="1" x14ac:dyDescent="0.2">
      <c r="A45" s="124">
        <v>43</v>
      </c>
      <c r="B45" s="121" t="s">
        <v>120</v>
      </c>
      <c r="C45" s="52"/>
      <c r="D45" s="52"/>
      <c r="E45" s="27">
        <f t="shared" si="13"/>
        <v>0</v>
      </c>
      <c r="F45" s="22"/>
      <c r="G45" s="22"/>
      <c r="H45" s="52"/>
      <c r="I45" s="52"/>
      <c r="J45" s="52"/>
      <c r="K45" s="32"/>
      <c r="L45" s="28"/>
      <c r="M45" s="55"/>
      <c r="N45" s="28"/>
      <c r="O45" s="56"/>
      <c r="P45" s="55"/>
      <c r="Q45" s="32"/>
    </row>
    <row r="46" spans="1:17" s="50" customFormat="1" x14ac:dyDescent="0.2">
      <c r="A46" s="124">
        <v>44</v>
      </c>
      <c r="B46" s="121" t="s">
        <v>121</v>
      </c>
      <c r="C46" s="52"/>
      <c r="D46" s="52"/>
      <c r="E46" s="27">
        <f t="shared" si="13"/>
        <v>0</v>
      </c>
      <c r="F46" s="22"/>
      <c r="G46" s="22"/>
      <c r="H46" s="52"/>
      <c r="I46" s="52"/>
      <c r="J46" s="52"/>
      <c r="K46" s="32"/>
      <c r="L46" s="28"/>
      <c r="M46" s="55"/>
      <c r="N46" s="28"/>
      <c r="O46" s="56"/>
      <c r="P46" s="55"/>
      <c r="Q46" s="32"/>
    </row>
    <row r="47" spans="1:17" s="50" customFormat="1" x14ac:dyDescent="0.2">
      <c r="A47" s="124">
        <v>45</v>
      </c>
      <c r="B47" s="121" t="s">
        <v>122</v>
      </c>
      <c r="C47" s="52"/>
      <c r="D47" s="52"/>
      <c r="E47" s="27">
        <f t="shared" si="13"/>
        <v>0</v>
      </c>
      <c r="F47" s="22"/>
      <c r="G47" s="22"/>
      <c r="H47" s="52"/>
      <c r="I47" s="52"/>
      <c r="J47" s="52"/>
      <c r="K47" s="32"/>
      <c r="L47" s="28"/>
      <c r="M47" s="55"/>
      <c r="N47" s="28"/>
      <c r="O47" s="56"/>
      <c r="P47" s="55"/>
      <c r="Q47" s="32"/>
    </row>
    <row r="48" spans="1:17" x14ac:dyDescent="0.2">
      <c r="A48" s="124">
        <v>48</v>
      </c>
      <c r="B48" s="121" t="s">
        <v>123</v>
      </c>
      <c r="C48" s="16"/>
      <c r="D48" s="16"/>
      <c r="E48" s="27">
        <f t="shared" si="13"/>
        <v>0</v>
      </c>
      <c r="F48" s="22"/>
      <c r="G48" s="22"/>
      <c r="H48" s="16"/>
      <c r="I48" s="16"/>
      <c r="J48" s="16"/>
      <c r="K48" s="32">
        <f t="shared" si="14"/>
        <v>0</v>
      </c>
      <c r="L48" s="28"/>
      <c r="M48" s="21">
        <f>Holdback*L48</f>
        <v>0</v>
      </c>
      <c r="N48" s="28"/>
      <c r="O48" s="56">
        <f>L48-N48-M48</f>
        <v>0</v>
      </c>
      <c r="P48" s="21">
        <f>D48-K48</f>
        <v>0</v>
      </c>
      <c r="Q48" s="32">
        <f>K48-L48</f>
        <v>0</v>
      </c>
    </row>
    <row r="49" spans="1:17" s="50" customFormat="1" ht="13.5" thickBot="1" x14ac:dyDescent="0.25">
      <c r="A49" s="216"/>
      <c r="B49" s="217" t="str">
        <f>B41&amp;" Subtotal"</f>
        <v>Site and Infrastructure  Subtotal</v>
      </c>
      <c r="C49" s="208">
        <f>SUBTOTAL(9,C41:C48)</f>
        <v>0</v>
      </c>
      <c r="D49" s="208">
        <f>SUBTOTAL(9,D41:D48)</f>
        <v>0</v>
      </c>
      <c r="E49" s="209">
        <f>SUBTOTAL(9,E41:E48)</f>
        <v>0</v>
      </c>
      <c r="F49" s="208"/>
      <c r="G49" s="208"/>
      <c r="H49" s="208">
        <f t="shared" ref="H49:Q49" si="15">SUBTOTAL(9,H41:H48)</f>
        <v>0</v>
      </c>
      <c r="I49" s="208">
        <f t="shared" si="15"/>
        <v>0</v>
      </c>
      <c r="J49" s="208">
        <f t="shared" si="15"/>
        <v>0</v>
      </c>
      <c r="K49" s="208">
        <f t="shared" si="15"/>
        <v>0</v>
      </c>
      <c r="L49" s="208">
        <f t="shared" si="15"/>
        <v>0</v>
      </c>
      <c r="M49" s="208">
        <f t="shared" si="15"/>
        <v>0</v>
      </c>
      <c r="N49" s="208">
        <f t="shared" si="15"/>
        <v>0</v>
      </c>
      <c r="O49" s="32">
        <f t="shared" si="15"/>
        <v>0</v>
      </c>
      <c r="P49" s="208">
        <f t="shared" si="15"/>
        <v>0</v>
      </c>
      <c r="Q49" s="208">
        <f t="shared" si="15"/>
        <v>0</v>
      </c>
    </row>
    <row r="50" spans="1:17" ht="13.5" thickTop="1" x14ac:dyDescent="0.2">
      <c r="A50" s="122"/>
      <c r="B50" s="123" t="s">
        <v>124</v>
      </c>
      <c r="C50" s="210"/>
      <c r="D50" s="211"/>
      <c r="E50" s="212"/>
      <c r="F50" s="211"/>
      <c r="G50" s="211"/>
      <c r="H50" s="211"/>
      <c r="I50" s="211"/>
      <c r="J50" s="211"/>
      <c r="K50" s="212"/>
      <c r="L50" s="211"/>
      <c r="M50" s="212"/>
      <c r="N50" s="211"/>
      <c r="O50" s="212"/>
      <c r="P50" s="212"/>
      <c r="Q50" s="213"/>
    </row>
    <row r="51" spans="1:17" x14ac:dyDescent="0.2">
      <c r="A51" s="120"/>
      <c r="B51" s="121" t="s">
        <v>124</v>
      </c>
      <c r="C51" s="16"/>
      <c r="D51" s="16"/>
      <c r="E51" s="27">
        <f>C51-D51</f>
        <v>0</v>
      </c>
      <c r="F51" s="22"/>
      <c r="G51" s="22"/>
      <c r="H51" s="16"/>
      <c r="I51" s="16"/>
      <c r="J51" s="16"/>
      <c r="K51" s="32">
        <f>SUM(H51:J51)</f>
        <v>0</v>
      </c>
      <c r="L51" s="28"/>
      <c r="M51" s="21">
        <f>Holdback*L51</f>
        <v>0</v>
      </c>
      <c r="N51" s="28"/>
      <c r="O51" s="56">
        <f>L51-N51-M51</f>
        <v>0</v>
      </c>
      <c r="P51" s="21">
        <f>D51-K51</f>
        <v>0</v>
      </c>
      <c r="Q51" s="32">
        <f>K51-L51</f>
        <v>0</v>
      </c>
    </row>
    <row r="52" spans="1:17" x14ac:dyDescent="0.2">
      <c r="A52" s="120"/>
      <c r="B52" s="121"/>
      <c r="C52" s="16"/>
      <c r="D52" s="16"/>
      <c r="E52" s="27">
        <f>C52-D52</f>
        <v>0</v>
      </c>
      <c r="F52" s="22"/>
      <c r="G52" s="22"/>
      <c r="H52" s="16"/>
      <c r="I52" s="16"/>
      <c r="J52" s="16"/>
      <c r="K52" s="32">
        <f>SUM(H52:J52)</f>
        <v>0</v>
      </c>
      <c r="L52" s="28"/>
      <c r="M52" s="21">
        <f>Holdback*L52</f>
        <v>0</v>
      </c>
      <c r="N52" s="28"/>
      <c r="O52" s="56">
        <f>L52-N52-M52</f>
        <v>0</v>
      </c>
      <c r="P52" s="21">
        <f>D52-K52</f>
        <v>0</v>
      </c>
      <c r="Q52" s="32">
        <f>K52-L52</f>
        <v>0</v>
      </c>
    </row>
    <row r="53" spans="1:17" s="50" customFormat="1" ht="13.5" thickBot="1" x14ac:dyDescent="0.25">
      <c r="A53" s="216"/>
      <c r="B53" s="217" t="str">
        <f>B50&amp;" Subtotal"</f>
        <v>Contingency Subtotal</v>
      </c>
      <c r="C53" s="208">
        <f>SUBTOTAL(9,C51:C52)</f>
        <v>0</v>
      </c>
      <c r="D53" s="208">
        <f>SUBTOTAL(9,D50:D52)</f>
        <v>0</v>
      </c>
      <c r="E53" s="209">
        <f>SUBTOTAL(9,E50:E52)</f>
        <v>0</v>
      </c>
      <c r="F53" s="208"/>
      <c r="G53" s="208"/>
      <c r="H53" s="208">
        <f t="shared" ref="H53:Q53" si="16">SUBTOTAL(9,H50:H52)</f>
        <v>0</v>
      </c>
      <c r="I53" s="208">
        <f t="shared" si="16"/>
        <v>0</v>
      </c>
      <c r="J53" s="208">
        <f t="shared" si="16"/>
        <v>0</v>
      </c>
      <c r="K53" s="208">
        <f t="shared" si="16"/>
        <v>0</v>
      </c>
      <c r="L53" s="208">
        <f t="shared" si="16"/>
        <v>0</v>
      </c>
      <c r="M53" s="208">
        <f t="shared" si="16"/>
        <v>0</v>
      </c>
      <c r="N53" s="208">
        <f t="shared" si="16"/>
        <v>0</v>
      </c>
      <c r="O53" s="32">
        <f t="shared" si="16"/>
        <v>0</v>
      </c>
      <c r="P53" s="208">
        <f t="shared" si="16"/>
        <v>0</v>
      </c>
      <c r="Q53" s="208">
        <f t="shared" si="16"/>
        <v>0</v>
      </c>
    </row>
    <row r="54" spans="1:17" ht="14.25" thickTop="1" thickBot="1" x14ac:dyDescent="0.25">
      <c r="A54" s="813" t="s">
        <v>128</v>
      </c>
      <c r="B54" s="814"/>
      <c r="C54" s="218">
        <f>SUBTOTAL(9,C7:C53)</f>
        <v>0</v>
      </c>
      <c r="D54" s="218">
        <f>SUBTOTAL(9,D7:D53)</f>
        <v>0</v>
      </c>
      <c r="E54" s="218">
        <f>SUBTOTAL(9,E7:E53)</f>
        <v>0</v>
      </c>
      <c r="F54" s="219"/>
      <c r="G54" s="219"/>
      <c r="H54" s="218">
        <f t="shared" ref="H54:Q54" si="17">SUBTOTAL(9,H7:H53)</f>
        <v>0</v>
      </c>
      <c r="I54" s="218">
        <f t="shared" si="17"/>
        <v>0</v>
      </c>
      <c r="J54" s="218">
        <f t="shared" si="17"/>
        <v>0</v>
      </c>
      <c r="K54" s="218">
        <f t="shared" si="17"/>
        <v>0</v>
      </c>
      <c r="L54" s="218">
        <f t="shared" si="17"/>
        <v>0</v>
      </c>
      <c r="M54" s="218">
        <f t="shared" si="17"/>
        <v>0</v>
      </c>
      <c r="N54" s="218">
        <f t="shared" si="17"/>
        <v>0</v>
      </c>
      <c r="O54" s="218">
        <f t="shared" si="17"/>
        <v>0</v>
      </c>
      <c r="P54" s="218">
        <f t="shared" si="17"/>
        <v>0</v>
      </c>
      <c r="Q54" s="218">
        <f t="shared" si="17"/>
        <v>0</v>
      </c>
    </row>
    <row r="55" spans="1:17" ht="13.5" thickTop="1" x14ac:dyDescent="0.2">
      <c r="A55" s="122"/>
      <c r="B55" s="132" t="s">
        <v>129</v>
      </c>
      <c r="C55" s="214"/>
      <c r="D55" s="214"/>
      <c r="E55" s="214"/>
      <c r="F55" s="214"/>
      <c r="G55" s="214"/>
      <c r="H55" s="214"/>
      <c r="I55" s="214"/>
      <c r="J55" s="214"/>
      <c r="K55" s="214"/>
      <c r="L55" s="214"/>
      <c r="M55" s="214"/>
      <c r="N55" s="214"/>
      <c r="O55" s="214"/>
      <c r="P55" s="214"/>
      <c r="Q55" s="215"/>
    </row>
    <row r="56" spans="1:17" s="50" customFormat="1" x14ac:dyDescent="0.2">
      <c r="A56" s="130"/>
      <c r="B56" s="131" t="s">
        <v>130</v>
      </c>
      <c r="C56" s="52"/>
      <c r="D56" s="52"/>
      <c r="E56" s="27">
        <f>C56-D56</f>
        <v>0</v>
      </c>
      <c r="F56" s="22"/>
      <c r="G56" s="22"/>
      <c r="H56" s="52"/>
      <c r="I56" s="100"/>
      <c r="J56" s="100"/>
      <c r="K56" s="101"/>
      <c r="L56" s="28"/>
      <c r="M56" s="55"/>
      <c r="N56" s="28"/>
      <c r="O56" s="56">
        <f>L56-N56-M56</f>
        <v>0</v>
      </c>
      <c r="P56" s="55"/>
      <c r="Q56" s="32"/>
    </row>
    <row r="57" spans="1:17" s="50" customFormat="1" x14ac:dyDescent="0.2">
      <c r="A57" s="130"/>
      <c r="B57" s="131" t="s">
        <v>126</v>
      </c>
      <c r="C57" s="52"/>
      <c r="D57" s="52"/>
      <c r="E57" s="27">
        <f>C57-D57</f>
        <v>0</v>
      </c>
      <c r="F57" s="22"/>
      <c r="G57" s="22"/>
      <c r="H57" s="52"/>
      <c r="I57" s="52"/>
      <c r="J57" s="52"/>
      <c r="K57" s="101"/>
      <c r="L57" s="28"/>
      <c r="M57" s="55"/>
      <c r="N57" s="28"/>
      <c r="O57" s="56">
        <f>L57-N57-M57</f>
        <v>0</v>
      </c>
      <c r="P57" s="55"/>
      <c r="Q57" s="32"/>
    </row>
    <row r="58" spans="1:17" s="50" customFormat="1" x14ac:dyDescent="0.2">
      <c r="A58" s="130"/>
      <c r="B58" s="131" t="s">
        <v>125</v>
      </c>
      <c r="C58" s="52"/>
      <c r="D58" s="52"/>
      <c r="E58" s="27">
        <f>C58-D58</f>
        <v>0</v>
      </c>
      <c r="F58" s="22"/>
      <c r="G58" s="22"/>
      <c r="H58" s="52"/>
      <c r="I58" s="100"/>
      <c r="J58" s="100"/>
      <c r="K58" s="101"/>
      <c r="L58" s="28"/>
      <c r="M58" s="55"/>
      <c r="N58" s="28"/>
      <c r="O58" s="56">
        <f>L58-N58-M58</f>
        <v>0</v>
      </c>
      <c r="P58" s="55"/>
      <c r="Q58" s="32"/>
    </row>
    <row r="59" spans="1:17" s="50" customFormat="1" ht="13.5" thickBot="1" x14ac:dyDescent="0.25">
      <c r="A59" s="216"/>
      <c r="B59" s="217" t="str">
        <f>B55&amp;" Subtotal"</f>
        <v xml:space="preserve">         Construction Management Fees Subtotal</v>
      </c>
      <c r="C59" s="208">
        <f>SUM(C56:C58)</f>
        <v>0</v>
      </c>
      <c r="D59" s="208">
        <f>SUM(D56:D58)</f>
        <v>0</v>
      </c>
      <c r="E59" s="209">
        <f>SUBTOTAL(9,E56:E58)</f>
        <v>0</v>
      </c>
      <c r="F59" s="208"/>
      <c r="G59" s="208"/>
      <c r="H59" s="208"/>
      <c r="I59" s="208"/>
      <c r="J59" s="208"/>
      <c r="K59" s="208"/>
      <c r="L59" s="208"/>
      <c r="M59" s="208"/>
      <c r="N59" s="208"/>
      <c r="O59" s="32"/>
      <c r="P59" s="208"/>
      <c r="Q59" s="208"/>
    </row>
    <row r="60" spans="1:17" ht="19.5" customHeight="1" thickTop="1" thickBot="1" x14ac:dyDescent="0.25">
      <c r="A60" s="813" t="s">
        <v>127</v>
      </c>
      <c r="B60" s="814"/>
      <c r="C60" s="220">
        <f>+C59+C54</f>
        <v>0</v>
      </c>
      <c r="D60" s="220">
        <f t="shared" ref="D60:Q60" si="18">D54+D55</f>
        <v>0</v>
      </c>
      <c r="E60" s="220">
        <f t="shared" si="18"/>
        <v>0</v>
      </c>
      <c r="F60" s="221">
        <f t="shared" si="18"/>
        <v>0</v>
      </c>
      <c r="G60" s="221">
        <f t="shared" si="18"/>
        <v>0</v>
      </c>
      <c r="H60" s="220">
        <f t="shared" si="18"/>
        <v>0</v>
      </c>
      <c r="I60" s="220">
        <f t="shared" si="18"/>
        <v>0</v>
      </c>
      <c r="J60" s="220">
        <f t="shared" si="18"/>
        <v>0</v>
      </c>
      <c r="K60" s="220">
        <f t="shared" si="18"/>
        <v>0</v>
      </c>
      <c r="L60" s="220">
        <f t="shared" si="18"/>
        <v>0</v>
      </c>
      <c r="M60" s="220">
        <f t="shared" si="18"/>
        <v>0</v>
      </c>
      <c r="N60" s="220">
        <f t="shared" si="18"/>
        <v>0</v>
      </c>
      <c r="O60" s="220">
        <f t="shared" si="18"/>
        <v>0</v>
      </c>
      <c r="P60" s="220">
        <f t="shared" si="18"/>
        <v>0</v>
      </c>
      <c r="Q60" s="220">
        <f t="shared" si="18"/>
        <v>0</v>
      </c>
    </row>
    <row r="61" spans="1:17" ht="13.5" thickTop="1" x14ac:dyDescent="0.2"/>
    <row r="62" spans="1:17" x14ac:dyDescent="0.2">
      <c r="C62" s="33"/>
      <c r="D62" s="133"/>
      <c r="E62" s="33"/>
    </row>
    <row r="64" spans="1:17" x14ac:dyDescent="0.2">
      <c r="A64"/>
    </row>
    <row r="65" spans="1:1" x14ac:dyDescent="0.2">
      <c r="A65"/>
    </row>
    <row r="66" spans="1:1" x14ac:dyDescent="0.2">
      <c r="A66"/>
    </row>
    <row r="67" spans="1:1" x14ac:dyDescent="0.2">
      <c r="A67"/>
    </row>
  </sheetData>
  <mergeCells count="16">
    <mergeCell ref="A60:B60"/>
    <mergeCell ref="A54:B54"/>
    <mergeCell ref="Q4:Q5"/>
    <mergeCell ref="H4:H5"/>
    <mergeCell ref="I4:I5"/>
    <mergeCell ref="J4:J5"/>
    <mergeCell ref="K4:K5"/>
    <mergeCell ref="L4:L5"/>
    <mergeCell ref="N4:N5"/>
    <mergeCell ref="O4:O5"/>
    <mergeCell ref="P4:P5"/>
    <mergeCell ref="F3:G3"/>
    <mergeCell ref="F4:G4"/>
    <mergeCell ref="C4:C5"/>
    <mergeCell ref="D4:D5"/>
    <mergeCell ref="E4:E5"/>
  </mergeCells>
  <printOptions horizontalCentered="1"/>
  <pageMargins left="0" right="0" top="0.25" bottom="0.25" header="0.3" footer="0.3"/>
  <pageSetup paperSize="5" scale="65" orientation="landscape" r:id="rId1"/>
  <headerFooter>
    <oddFooter>&amp;L&amp;Z&amp;F&amp;R&amp;D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61"/>
  <sheetViews>
    <sheetView showGridLines="0" zoomScale="80" zoomScaleNormal="80" workbookViewId="0">
      <selection activeCell="E9" sqref="E9"/>
    </sheetView>
  </sheetViews>
  <sheetFormatPr defaultRowHeight="11.25" x14ac:dyDescent="0.2"/>
  <cols>
    <col min="1" max="1" width="35.7109375" style="638" customWidth="1"/>
    <col min="2" max="2" width="6.85546875" style="638" customWidth="1"/>
    <col min="3" max="3" width="13.140625" style="638" customWidth="1"/>
    <col min="4" max="8" width="20.140625" style="638" customWidth="1"/>
    <col min="9" max="9" width="39.140625" style="638" customWidth="1"/>
    <col min="10" max="10" width="10.42578125" style="638" bestFit="1" customWidth="1"/>
    <col min="11" max="11" width="13.140625" style="638" hidden="1" customWidth="1"/>
    <col min="12" max="16384" width="9.140625" style="638"/>
  </cols>
  <sheetData>
    <row r="1" spans="1:18" ht="18" customHeight="1" x14ac:dyDescent="0.2">
      <c r="A1" s="680" t="str">
        <f>+'Document Summary'!A3</f>
        <v>Company Name:</v>
      </c>
      <c r="B1" s="819">
        <f>+Company!D1</f>
        <v>0</v>
      </c>
      <c r="C1" s="820"/>
      <c r="D1" s="821"/>
      <c r="E1" s="678"/>
      <c r="F1" s="678"/>
      <c r="G1" s="644"/>
      <c r="H1" s="644"/>
      <c r="I1" s="644"/>
      <c r="J1" s="636"/>
      <c r="K1" s="636"/>
      <c r="L1" s="636"/>
      <c r="M1" s="637"/>
      <c r="N1" s="637"/>
      <c r="O1" s="637"/>
      <c r="P1" s="637"/>
      <c r="Q1" s="637"/>
      <c r="R1" s="637"/>
    </row>
    <row r="2" spans="1:18" ht="18" customHeight="1" x14ac:dyDescent="0.2">
      <c r="A2" s="680" t="str">
        <f>+'Document Summary'!A4</f>
        <v>Work Order:</v>
      </c>
      <c r="B2" s="819" t="str">
        <f>+Company!D2</f>
        <v>4001WO</v>
      </c>
      <c r="C2" s="820"/>
      <c r="D2" s="821"/>
      <c r="E2" s="679"/>
      <c r="F2" s="679"/>
      <c r="G2" s="644"/>
      <c r="H2" s="644"/>
      <c r="I2" s="644"/>
      <c r="J2" s="636"/>
      <c r="K2" s="636" t="s">
        <v>302</v>
      </c>
      <c r="L2" s="636"/>
      <c r="M2" s="637"/>
      <c r="N2" s="637"/>
      <c r="O2" s="637"/>
      <c r="P2" s="637"/>
      <c r="Q2" s="637"/>
      <c r="R2" s="637"/>
    </row>
    <row r="3" spans="1:18" ht="18" customHeight="1" x14ac:dyDescent="0.2">
      <c r="A3" s="680" t="str">
        <f>+'Document Summary'!A5</f>
        <v>Certified by:</v>
      </c>
      <c r="B3" s="819" t="str">
        <f>+Company!D3</f>
        <v>[project number]</v>
      </c>
      <c r="C3" s="820"/>
      <c r="D3" s="821"/>
      <c r="E3" s="679"/>
      <c r="F3" s="679"/>
      <c r="G3" s="644"/>
      <c r="H3" s="644"/>
      <c r="I3" s="644"/>
      <c r="J3" s="636"/>
      <c r="K3" s="636" t="b">
        <f>+'Document Summary'!L8</f>
        <v>1</v>
      </c>
      <c r="L3" s="636"/>
      <c r="M3" s="637"/>
      <c r="N3" s="637"/>
      <c r="O3" s="637"/>
      <c r="P3" s="637"/>
      <c r="Q3" s="637"/>
      <c r="R3" s="637"/>
    </row>
    <row r="4" spans="1:18" ht="18" customHeight="1" x14ac:dyDescent="0.2">
      <c r="A4" s="680" t="str">
        <f>+'Document Summary'!A6</f>
        <v>Project No.:</v>
      </c>
      <c r="B4" s="819">
        <f>+Company!D4</f>
        <v>502</v>
      </c>
      <c r="C4" s="820"/>
      <c r="D4" s="821"/>
      <c r="E4" s="679"/>
      <c r="F4" s="679"/>
      <c r="G4" s="644"/>
      <c r="H4" s="644"/>
      <c r="I4" s="644"/>
      <c r="J4" s="636"/>
      <c r="K4" s="670">
        <f>+Company!J15</f>
        <v>0</v>
      </c>
      <c r="L4" s="636"/>
      <c r="M4" s="637"/>
      <c r="N4" s="637"/>
      <c r="O4" s="637"/>
      <c r="P4" s="637"/>
      <c r="Q4" s="637"/>
      <c r="R4" s="637"/>
    </row>
    <row r="5" spans="1:18" ht="18" customHeight="1" x14ac:dyDescent="0.2">
      <c r="A5" s="680" t="s">
        <v>318</v>
      </c>
      <c r="B5" s="819" t="str">
        <f>+Company!E8</f>
        <v>Split #1/Fund</v>
      </c>
      <c r="C5" s="820"/>
      <c r="D5" s="821"/>
      <c r="E5" s="679"/>
      <c r="F5" s="679"/>
      <c r="G5" s="644"/>
      <c r="H5" s="644"/>
      <c r="I5" s="644"/>
      <c r="J5" s="636"/>
      <c r="K5" s="670"/>
      <c r="L5" s="636"/>
      <c r="M5" s="637"/>
      <c r="N5" s="637"/>
      <c r="O5" s="637"/>
      <c r="P5" s="637"/>
      <c r="Q5" s="637"/>
      <c r="R5" s="637"/>
    </row>
    <row r="6" spans="1:18" ht="18" customHeight="1" x14ac:dyDescent="0.2">
      <c r="A6" s="680" t="str">
        <f>+'Document Summary'!A7</f>
        <v>Project Item No.:</v>
      </c>
      <c r="B6" s="819" t="str">
        <f>+Company!D5</f>
        <v>N/A</v>
      </c>
      <c r="C6" s="820"/>
      <c r="D6" s="821"/>
      <c r="E6" s="679"/>
      <c r="F6" s="679"/>
      <c r="G6" s="644"/>
      <c r="H6" s="644"/>
      <c r="I6" s="644"/>
      <c r="J6" s="636"/>
      <c r="K6" s="636"/>
      <c r="L6" s="636"/>
      <c r="M6" s="637"/>
      <c r="N6" s="637"/>
      <c r="O6" s="637"/>
      <c r="P6" s="637"/>
      <c r="Q6" s="637"/>
      <c r="R6" s="637"/>
    </row>
    <row r="7" spans="1:18" ht="13.5" customHeight="1" x14ac:dyDescent="0.2">
      <c r="A7" s="644"/>
      <c r="B7" s="644"/>
      <c r="C7" s="644"/>
      <c r="G7" s="644"/>
      <c r="H7" s="644"/>
      <c r="I7" s="644"/>
      <c r="J7" s="636"/>
      <c r="K7" s="636"/>
      <c r="L7" s="636"/>
      <c r="M7" s="637"/>
      <c r="N7" s="637"/>
      <c r="O7" s="637"/>
      <c r="P7" s="637"/>
      <c r="Q7" s="637"/>
      <c r="R7" s="637"/>
    </row>
    <row r="8" spans="1:18" ht="23.25" customHeight="1" x14ac:dyDescent="0.2">
      <c r="A8" s="824" t="s">
        <v>316</v>
      </c>
      <c r="B8" s="825"/>
      <c r="C8" s="825"/>
      <c r="D8" s="825"/>
      <c r="E8" s="825"/>
      <c r="F8" s="825"/>
      <c r="G8" s="825"/>
      <c r="H8" s="825"/>
      <c r="I8" s="825"/>
      <c r="J8" s="636"/>
      <c r="K8" s="636"/>
      <c r="L8" s="636"/>
      <c r="M8" s="637"/>
      <c r="N8" s="637"/>
      <c r="O8" s="637"/>
      <c r="P8" s="637"/>
      <c r="Q8" s="637"/>
      <c r="R8" s="637"/>
    </row>
    <row r="9" spans="1:18" s="642" customFormat="1" ht="30.75" customHeight="1" x14ac:dyDescent="0.25">
      <c r="A9" s="657"/>
      <c r="B9" s="657"/>
      <c r="C9" s="648" t="s">
        <v>285</v>
      </c>
      <c r="D9" s="649" t="s">
        <v>295</v>
      </c>
      <c r="E9" s="649" t="s">
        <v>298</v>
      </c>
      <c r="F9" s="687" t="s">
        <v>296</v>
      </c>
      <c r="G9" s="693" t="s">
        <v>315</v>
      </c>
      <c r="H9" s="694" t="s">
        <v>314</v>
      </c>
      <c r="I9" s="690" t="s">
        <v>286</v>
      </c>
      <c r="J9" s="641"/>
      <c r="K9" s="641"/>
      <c r="L9" s="641"/>
      <c r="M9" s="626"/>
      <c r="N9" s="626"/>
      <c r="O9" s="626"/>
      <c r="P9" s="626"/>
      <c r="Q9" s="626"/>
      <c r="R9" s="626"/>
    </row>
    <row r="10" spans="1:18" s="643" customFormat="1" ht="25.5" customHeight="1" x14ac:dyDescent="0.2">
      <c r="A10" s="646">
        <v>1</v>
      </c>
      <c r="B10" s="658" t="s">
        <v>283</v>
      </c>
      <c r="C10" s="660">
        <v>0</v>
      </c>
      <c r="D10" s="671">
        <f>+IF($A$10=1,(+Company!$M$15+Consultant!$M$15),"$0.00")</f>
        <v>0</v>
      </c>
      <c r="E10" s="671">
        <f>+IF($A$10=1,+Company!$M$70+Consultant!$M$239,"$0.00")</f>
        <v>0</v>
      </c>
      <c r="F10" s="688">
        <f>+IF($A$10=1,(D10*C10-E10),"$0.00")</f>
        <v>0</v>
      </c>
      <c r="G10" s="695" t="str">
        <f>+IF(AND($K$3=TRUE,$K$4&gt;50000),+F10*10%,"$0.00")</f>
        <v>$0.00</v>
      </c>
      <c r="H10" s="696">
        <f>+F10-G10</f>
        <v>0</v>
      </c>
      <c r="I10" s="691"/>
      <c r="J10" s="636"/>
      <c r="K10" s="636"/>
      <c r="L10" s="636"/>
      <c r="M10" s="637"/>
      <c r="N10" s="637"/>
      <c r="O10" s="637"/>
      <c r="P10" s="637"/>
      <c r="Q10" s="637"/>
      <c r="R10" s="637"/>
    </row>
    <row r="11" spans="1:18" s="643" customFormat="1" ht="25.5" customHeight="1" x14ac:dyDescent="0.2">
      <c r="A11" s="653"/>
      <c r="B11" s="658" t="s">
        <v>283</v>
      </c>
      <c r="C11" s="650"/>
      <c r="D11" s="672" t="s">
        <v>299</v>
      </c>
      <c r="E11" s="673" t="str">
        <f>+IF($A$10=2,+Company!$M$70+Consultant!$M$239,"$0.00")</f>
        <v>$0.00</v>
      </c>
      <c r="F11" s="688" t="str">
        <f>+IF($A$10=2,(D11-E11),"$0.00")</f>
        <v>$0.00</v>
      </c>
      <c r="G11" s="695" t="str">
        <f>+IF(AND($K$3=TRUE,$K$4&gt;50000),+F11*10%,"$0.00")</f>
        <v>$0.00</v>
      </c>
      <c r="H11" s="696">
        <f>+F11-G11</f>
        <v>0</v>
      </c>
      <c r="I11" s="692"/>
      <c r="J11" s="636"/>
      <c r="K11" s="636"/>
      <c r="L11" s="636"/>
      <c r="M11" s="637"/>
      <c r="N11" s="637"/>
      <c r="O11" s="637"/>
      <c r="P11" s="637"/>
      <c r="Q11" s="637"/>
      <c r="R11" s="637"/>
    </row>
    <row r="12" spans="1:18" s="643" customFormat="1" ht="25.5" customHeight="1" x14ac:dyDescent="0.2">
      <c r="A12" s="653"/>
      <c r="B12" s="658" t="s">
        <v>283</v>
      </c>
      <c r="C12" s="660">
        <v>0</v>
      </c>
      <c r="D12" s="671" t="str">
        <f>+IF($A$10=3,(+Company!J27+Consultant!M27),"$0.00")</f>
        <v>$0.00</v>
      </c>
      <c r="E12" s="671" t="str">
        <f>+IF($A$10=3,+Company!$M$70+Consultant!$M$239,"$0.00")</f>
        <v>$0.00</v>
      </c>
      <c r="F12" s="688" t="str">
        <f>+IF($A$10=3,(D12*C12-E12),"$0.00")</f>
        <v>$0.00</v>
      </c>
      <c r="G12" s="695" t="str">
        <f>+IF(AND($K$3=TRUE,$K$4&gt;50000),+F12*10%,"$0.00")</f>
        <v>$0.00</v>
      </c>
      <c r="H12" s="696">
        <f>+F12-G12</f>
        <v>0</v>
      </c>
      <c r="I12" s="692"/>
      <c r="J12" s="636"/>
      <c r="K12" s="636"/>
      <c r="L12" s="636"/>
      <c r="M12" s="637"/>
      <c r="N12" s="637"/>
      <c r="O12" s="637"/>
      <c r="P12" s="637"/>
      <c r="Q12" s="637"/>
      <c r="R12" s="637"/>
    </row>
    <row r="13" spans="1:18" s="643" customFormat="1" ht="25.5" customHeight="1" x14ac:dyDescent="0.2">
      <c r="A13" s="653" t="s">
        <v>287</v>
      </c>
      <c r="B13" s="658" t="s">
        <v>288</v>
      </c>
      <c r="C13" s="651"/>
      <c r="D13" s="674"/>
      <c r="E13" s="674"/>
      <c r="F13" s="689"/>
      <c r="G13" s="697">
        <f>+Company!J18+Consultant!M18</f>
        <v>0</v>
      </c>
      <c r="H13" s="696"/>
      <c r="I13" s="691"/>
      <c r="J13" s="636"/>
      <c r="K13" s="636"/>
      <c r="L13" s="636"/>
      <c r="M13" s="637"/>
      <c r="N13" s="637"/>
      <c r="O13" s="637"/>
      <c r="P13" s="637"/>
      <c r="Q13" s="637"/>
      <c r="R13" s="637"/>
    </row>
    <row r="14" spans="1:18" s="643" customFormat="1" ht="25.5" customHeight="1" x14ac:dyDescent="0.2">
      <c r="A14" s="653" t="s">
        <v>289</v>
      </c>
      <c r="B14" s="658" t="s">
        <v>288</v>
      </c>
      <c r="C14" s="660">
        <v>0</v>
      </c>
      <c r="D14" s="675" t="s">
        <v>300</v>
      </c>
      <c r="E14" s="676">
        <v>0</v>
      </c>
      <c r="F14" s="688" t="str">
        <f>+IF(D14="[enter unissued DT]","$0.00",(+D14*C14))</f>
        <v>$0.00</v>
      </c>
      <c r="G14" s="695" t="str">
        <f>+IF(AND($K$3=TRUE,$K$4&gt;50000),+F14*10%,"$0.00")</f>
        <v>$0.00</v>
      </c>
      <c r="H14" s="696">
        <f>+F14-G14</f>
        <v>0</v>
      </c>
      <c r="I14" s="691"/>
      <c r="J14" s="636"/>
      <c r="K14" s="636"/>
      <c r="L14" s="636"/>
      <c r="M14" s="637"/>
      <c r="N14" s="637"/>
      <c r="O14" s="637"/>
      <c r="P14" s="637"/>
      <c r="Q14" s="637"/>
      <c r="R14" s="637"/>
    </row>
    <row r="15" spans="1:18" s="643" customFormat="1" ht="25.5" customHeight="1" thickBot="1" x14ac:dyDescent="0.3">
      <c r="A15" s="659"/>
      <c r="B15" s="659"/>
      <c r="C15" s="653"/>
      <c r="D15" s="700"/>
      <c r="E15" s="686"/>
      <c r="F15" s="677" t="s">
        <v>290</v>
      </c>
      <c r="G15" s="698">
        <f>SUM(G10:G14)</f>
        <v>0</v>
      </c>
      <c r="H15" s="699">
        <f>SUM(H10:H14)</f>
        <v>0</v>
      </c>
      <c r="I15" s="652"/>
      <c r="J15" s="639"/>
      <c r="K15" s="636"/>
      <c r="L15" s="636"/>
      <c r="M15" s="637"/>
      <c r="N15" s="637"/>
      <c r="O15" s="637"/>
      <c r="P15" s="637"/>
      <c r="Q15" s="637"/>
      <c r="R15" s="637"/>
    </row>
    <row r="16" spans="1:18" s="643" customFormat="1" ht="20.25" customHeight="1" thickTop="1" x14ac:dyDescent="0.2">
      <c r="A16" s="647"/>
      <c r="B16" s="647"/>
      <c r="C16" s="653"/>
      <c r="D16" s="652"/>
      <c r="E16" s="652"/>
      <c r="F16" s="652"/>
      <c r="G16" s="652"/>
      <c r="H16" s="653"/>
      <c r="I16" s="653"/>
      <c r="J16" s="636"/>
      <c r="K16" s="640"/>
      <c r="L16" s="636"/>
      <c r="M16" s="637"/>
      <c r="N16" s="637"/>
      <c r="O16" s="637"/>
      <c r="P16" s="637"/>
      <c r="Q16" s="637"/>
      <c r="R16" s="637"/>
    </row>
    <row r="17" spans="1:18" s="643" customFormat="1" ht="24" customHeight="1" x14ac:dyDescent="0.2">
      <c r="A17" s="647"/>
      <c r="B17" s="647"/>
      <c r="C17" s="822"/>
      <c r="D17" s="823"/>
      <c r="E17" s="823"/>
      <c r="F17" s="823"/>
      <c r="G17" s="823"/>
      <c r="H17" s="654">
        <f ca="1">TODAY()</f>
        <v>41152</v>
      </c>
      <c r="I17" s="653"/>
      <c r="J17" s="636"/>
      <c r="K17" s="636"/>
      <c r="L17" s="636"/>
      <c r="M17" s="637"/>
      <c r="N17" s="637"/>
      <c r="O17" s="637"/>
      <c r="P17" s="637"/>
      <c r="Q17" s="637"/>
      <c r="R17" s="637"/>
    </row>
    <row r="18" spans="1:18" s="643" customFormat="1" ht="17.25" customHeight="1" x14ac:dyDescent="0.2">
      <c r="A18" s="647"/>
      <c r="B18" s="647"/>
      <c r="C18" s="655" t="s">
        <v>291</v>
      </c>
      <c r="D18" s="655"/>
      <c r="E18" s="655"/>
      <c r="F18" s="655"/>
      <c r="G18" s="655" t="s">
        <v>317</v>
      </c>
      <c r="H18" s="655" t="s">
        <v>69</v>
      </c>
      <c r="I18" s="653"/>
      <c r="J18" s="636"/>
      <c r="K18" s="636"/>
      <c r="L18" s="636"/>
      <c r="M18" s="637"/>
      <c r="N18" s="637"/>
      <c r="O18" s="637"/>
      <c r="P18" s="637"/>
      <c r="Q18" s="637"/>
      <c r="R18" s="637"/>
    </row>
    <row r="19" spans="1:18" s="643" customFormat="1" ht="37.5" customHeight="1" x14ac:dyDescent="0.2">
      <c r="A19" s="647"/>
      <c r="B19" s="647"/>
      <c r="C19" s="656"/>
      <c r="D19" s="656"/>
      <c r="E19" s="656"/>
      <c r="F19" s="656"/>
      <c r="G19" s="656"/>
      <c r="H19" s="652"/>
      <c r="I19" s="653"/>
      <c r="J19" s="637"/>
      <c r="K19" s="637"/>
      <c r="L19" s="637"/>
      <c r="M19" s="637"/>
      <c r="N19" s="637"/>
      <c r="O19" s="637"/>
      <c r="P19" s="637"/>
      <c r="Q19" s="637"/>
      <c r="R19" s="637"/>
    </row>
    <row r="20" spans="1:18" s="643" customFormat="1" ht="16.5" customHeight="1" x14ac:dyDescent="0.2">
      <c r="A20" s="647"/>
      <c r="B20" s="647"/>
      <c r="C20" s="655" t="s">
        <v>292</v>
      </c>
      <c r="D20" s="655"/>
      <c r="E20" s="655"/>
      <c r="F20" s="655"/>
      <c r="G20" s="655"/>
      <c r="H20" s="655" t="s">
        <v>281</v>
      </c>
      <c r="I20" s="653"/>
      <c r="J20" s="637"/>
      <c r="K20" s="637"/>
      <c r="L20" s="637"/>
      <c r="M20" s="637"/>
      <c r="N20" s="637"/>
      <c r="O20" s="637"/>
      <c r="P20" s="637"/>
      <c r="Q20" s="637"/>
      <c r="R20" s="637"/>
    </row>
    <row r="21" spans="1:18" s="643" customFormat="1" ht="12.75" x14ac:dyDescent="0.2">
      <c r="A21" s="637"/>
      <c r="B21" s="637"/>
      <c r="C21" s="637"/>
      <c r="D21" s="637"/>
      <c r="E21" s="637"/>
      <c r="F21" s="637"/>
      <c r="G21" s="702"/>
      <c r="H21" s="701"/>
      <c r="I21" s="637"/>
      <c r="J21" s="637"/>
      <c r="K21" s="637"/>
      <c r="L21" s="637"/>
      <c r="M21" s="637"/>
      <c r="N21" s="637"/>
      <c r="O21" s="637"/>
      <c r="P21" s="637"/>
      <c r="Q21" s="637"/>
      <c r="R21" s="637"/>
    </row>
    <row r="22" spans="1:18" s="643" customFormat="1" ht="18.75" customHeight="1" x14ac:dyDescent="0.2">
      <c r="A22" s="661" t="s">
        <v>293</v>
      </c>
      <c r="B22" s="662"/>
      <c r="C22" s="663"/>
      <c r="D22" s="637"/>
      <c r="E22" s="637"/>
      <c r="F22" s="637"/>
      <c r="G22" s="637"/>
      <c r="H22" s="637"/>
      <c r="I22" s="637"/>
      <c r="J22" s="637"/>
      <c r="K22" s="637"/>
      <c r="L22" s="637"/>
      <c r="M22" s="637"/>
      <c r="N22" s="637"/>
      <c r="O22" s="637"/>
      <c r="P22" s="637"/>
      <c r="Q22" s="637"/>
      <c r="R22" s="637"/>
    </row>
    <row r="23" spans="1:18" s="643" customFormat="1" ht="18.75" customHeight="1" x14ac:dyDescent="0.2">
      <c r="A23" s="664" t="s">
        <v>294</v>
      </c>
      <c r="B23" s="666"/>
      <c r="C23" s="667"/>
      <c r="D23" s="637"/>
      <c r="E23" s="637"/>
      <c r="F23" s="637"/>
      <c r="G23" s="637"/>
      <c r="H23" s="637"/>
      <c r="I23" s="637"/>
      <c r="J23" s="637"/>
      <c r="K23" s="637"/>
      <c r="L23" s="637"/>
      <c r="M23" s="637"/>
      <c r="N23" s="637"/>
      <c r="O23" s="637"/>
      <c r="P23" s="637"/>
      <c r="Q23" s="637"/>
      <c r="R23" s="637"/>
    </row>
    <row r="24" spans="1:18" s="643" customFormat="1" ht="18.75" customHeight="1" x14ac:dyDescent="0.2">
      <c r="A24" s="665" t="s">
        <v>297</v>
      </c>
      <c r="B24" s="668"/>
      <c r="C24" s="669"/>
      <c r="D24" s="637"/>
      <c r="E24" s="637"/>
      <c r="F24" s="637"/>
      <c r="G24" s="637"/>
      <c r="H24" s="637"/>
      <c r="I24" s="637"/>
      <c r="J24" s="637"/>
      <c r="K24" s="637"/>
      <c r="L24" s="637"/>
      <c r="M24" s="637"/>
      <c r="N24" s="637"/>
      <c r="O24" s="637"/>
      <c r="P24" s="637"/>
      <c r="Q24" s="637"/>
      <c r="R24" s="637"/>
    </row>
    <row r="25" spans="1:18" s="643" customFormat="1" ht="18.75" customHeight="1" x14ac:dyDescent="0.2">
      <c r="A25" s="645" t="s">
        <v>301</v>
      </c>
      <c r="B25" s="662"/>
      <c r="C25" s="663"/>
      <c r="D25" s="637"/>
      <c r="E25" s="637"/>
      <c r="F25" s="637"/>
      <c r="G25" s="637"/>
      <c r="H25" s="637"/>
      <c r="I25" s="637"/>
      <c r="J25" s="637"/>
      <c r="K25" s="637"/>
      <c r="L25" s="637"/>
      <c r="M25" s="637"/>
      <c r="N25" s="637"/>
      <c r="O25" s="637"/>
      <c r="P25" s="637"/>
      <c r="Q25" s="637"/>
      <c r="R25" s="637"/>
    </row>
    <row r="26" spans="1:18" s="643" customFormat="1" ht="12.75" x14ac:dyDescent="0.2">
      <c r="A26" s="637"/>
      <c r="B26" s="637"/>
      <c r="C26" s="637"/>
      <c r="D26" s="637"/>
      <c r="E26" s="637"/>
      <c r="F26" s="637"/>
      <c r="G26" s="637"/>
      <c r="H26" s="637"/>
      <c r="I26" s="637"/>
      <c r="J26" s="637"/>
      <c r="K26" s="637"/>
      <c r="L26" s="637"/>
      <c r="M26" s="637"/>
      <c r="N26" s="637"/>
      <c r="O26" s="637"/>
      <c r="P26" s="637"/>
      <c r="Q26" s="637"/>
      <c r="R26" s="637"/>
    </row>
    <row r="27" spans="1:18" s="643" customFormat="1" ht="12.75" x14ac:dyDescent="0.2">
      <c r="A27" s="637"/>
      <c r="B27" s="637"/>
      <c r="C27" s="637"/>
      <c r="D27" s="637"/>
      <c r="E27" s="637"/>
      <c r="F27" s="637"/>
      <c r="G27" s="637"/>
      <c r="H27" s="637"/>
      <c r="I27" s="637"/>
      <c r="J27" s="637"/>
      <c r="K27" s="637"/>
      <c r="L27" s="637"/>
      <c r="M27" s="637"/>
      <c r="N27" s="637"/>
      <c r="O27" s="637"/>
      <c r="P27" s="637"/>
      <c r="Q27" s="637"/>
      <c r="R27" s="637"/>
    </row>
    <row r="28" spans="1:18" s="643" customFormat="1" ht="12.75" x14ac:dyDescent="0.2">
      <c r="A28" s="637"/>
      <c r="B28" s="637"/>
      <c r="C28" s="637"/>
      <c r="D28" s="637"/>
      <c r="E28" s="637"/>
      <c r="F28" s="637"/>
      <c r="G28" s="637"/>
      <c r="H28" s="637"/>
      <c r="I28" s="637"/>
      <c r="J28" s="637"/>
      <c r="K28" s="637"/>
      <c r="L28" s="637"/>
      <c r="M28" s="637"/>
      <c r="N28" s="637"/>
      <c r="O28" s="637"/>
      <c r="P28" s="637"/>
      <c r="Q28" s="637"/>
      <c r="R28" s="637"/>
    </row>
    <row r="29" spans="1:18" ht="12.75" x14ac:dyDescent="0.2">
      <c r="A29" s="637"/>
      <c r="B29" s="637"/>
      <c r="C29" s="637"/>
      <c r="D29" s="637"/>
      <c r="E29" s="637"/>
      <c r="F29" s="637"/>
      <c r="G29" s="637"/>
      <c r="H29" s="637"/>
      <c r="I29" s="637"/>
      <c r="J29" s="637"/>
      <c r="K29" s="637"/>
      <c r="L29" s="637"/>
      <c r="M29" s="637"/>
      <c r="N29" s="637"/>
      <c r="O29" s="637"/>
      <c r="P29" s="637"/>
      <c r="Q29" s="637"/>
      <c r="R29" s="637"/>
    </row>
    <row r="30" spans="1:18" ht="12.75" x14ac:dyDescent="0.2">
      <c r="A30" s="637"/>
      <c r="B30" s="637"/>
      <c r="C30" s="637"/>
      <c r="D30" s="637"/>
      <c r="E30" s="637"/>
      <c r="F30" s="637"/>
      <c r="G30" s="637"/>
      <c r="H30" s="637"/>
      <c r="I30" s="637"/>
      <c r="J30" s="637"/>
      <c r="K30" s="637"/>
      <c r="L30" s="637"/>
      <c r="M30" s="637"/>
      <c r="N30" s="637"/>
      <c r="O30" s="637"/>
      <c r="P30" s="637"/>
      <c r="Q30" s="637"/>
      <c r="R30" s="637"/>
    </row>
    <row r="31" spans="1:18" ht="12.75" x14ac:dyDescent="0.2">
      <c r="A31" s="637"/>
      <c r="B31" s="637"/>
      <c r="C31" s="637"/>
      <c r="D31" s="637"/>
      <c r="E31" s="637"/>
      <c r="F31" s="637"/>
      <c r="G31" s="637"/>
      <c r="H31" s="637"/>
      <c r="I31" s="637"/>
      <c r="J31" s="637"/>
      <c r="K31" s="637"/>
      <c r="L31" s="637"/>
      <c r="M31" s="637"/>
      <c r="N31" s="637"/>
      <c r="O31" s="637"/>
      <c r="P31" s="637"/>
      <c r="Q31" s="637"/>
      <c r="R31" s="637"/>
    </row>
    <row r="32" spans="1:18" ht="12.75" x14ac:dyDescent="0.2">
      <c r="A32" s="637"/>
      <c r="B32" s="637"/>
      <c r="C32" s="637"/>
      <c r="D32" s="637"/>
      <c r="E32" s="637"/>
      <c r="F32" s="637"/>
      <c r="G32" s="637"/>
      <c r="H32" s="637"/>
      <c r="I32" s="637"/>
      <c r="J32" s="637"/>
      <c r="K32" s="637"/>
      <c r="L32" s="637"/>
      <c r="M32" s="637"/>
      <c r="N32" s="637"/>
      <c r="O32" s="637"/>
      <c r="P32" s="637"/>
      <c r="Q32" s="637"/>
      <c r="R32" s="637"/>
    </row>
    <row r="33" spans="1:18" ht="12.75" x14ac:dyDescent="0.2">
      <c r="A33" s="637"/>
      <c r="B33" s="637"/>
      <c r="C33" s="637"/>
      <c r="D33" s="637"/>
      <c r="E33" s="637"/>
      <c r="F33" s="637"/>
      <c r="G33" s="637"/>
      <c r="H33" s="637"/>
      <c r="I33" s="637"/>
      <c r="J33" s="637"/>
      <c r="K33" s="637"/>
      <c r="L33" s="637"/>
      <c r="M33" s="637"/>
      <c r="N33" s="637"/>
      <c r="O33" s="637"/>
      <c r="P33" s="637"/>
      <c r="Q33" s="637"/>
      <c r="R33" s="637"/>
    </row>
    <row r="34" spans="1:18" ht="12.75" x14ac:dyDescent="0.2">
      <c r="A34" s="637"/>
      <c r="B34" s="637"/>
      <c r="C34" s="637"/>
      <c r="D34" s="637"/>
      <c r="E34" s="637"/>
      <c r="F34" s="637"/>
      <c r="G34" s="637"/>
      <c r="H34" s="637"/>
      <c r="I34" s="637"/>
      <c r="J34" s="637"/>
      <c r="K34" s="637"/>
      <c r="L34" s="637"/>
      <c r="M34" s="637"/>
      <c r="N34" s="637"/>
      <c r="O34" s="637"/>
      <c r="P34" s="637"/>
      <c r="Q34" s="637"/>
      <c r="R34" s="637"/>
    </row>
    <row r="35" spans="1:18" ht="12.75" x14ac:dyDescent="0.2">
      <c r="A35" s="637"/>
      <c r="B35" s="637"/>
      <c r="C35" s="637"/>
      <c r="D35" s="637"/>
      <c r="E35" s="637"/>
      <c r="F35" s="637"/>
      <c r="G35" s="637"/>
      <c r="H35" s="637"/>
      <c r="I35" s="637"/>
      <c r="J35" s="637"/>
      <c r="K35" s="637"/>
      <c r="L35" s="637"/>
      <c r="M35" s="637"/>
      <c r="N35" s="637"/>
      <c r="O35" s="637"/>
      <c r="P35" s="637"/>
      <c r="Q35" s="637"/>
      <c r="R35" s="637"/>
    </row>
    <row r="36" spans="1:18" ht="12.75" x14ac:dyDescent="0.2">
      <c r="A36" s="637"/>
      <c r="B36" s="637"/>
      <c r="C36" s="637"/>
      <c r="D36" s="637"/>
      <c r="E36" s="637"/>
      <c r="F36" s="637"/>
      <c r="G36" s="637"/>
      <c r="H36" s="637"/>
      <c r="I36" s="637"/>
      <c r="J36" s="637"/>
      <c r="K36" s="637"/>
      <c r="L36" s="637"/>
      <c r="M36" s="637"/>
      <c r="N36" s="637"/>
      <c r="O36" s="637"/>
      <c r="P36" s="637"/>
      <c r="Q36" s="637"/>
      <c r="R36" s="637"/>
    </row>
    <row r="37" spans="1:18" ht="12.75" x14ac:dyDescent="0.2">
      <c r="A37" s="637"/>
      <c r="B37" s="637"/>
      <c r="C37" s="637"/>
      <c r="D37" s="637"/>
      <c r="E37" s="637"/>
      <c r="F37" s="637"/>
      <c r="G37" s="637"/>
      <c r="H37" s="637"/>
      <c r="I37" s="637"/>
      <c r="J37" s="637"/>
      <c r="K37" s="637"/>
      <c r="L37" s="637"/>
      <c r="M37" s="637"/>
      <c r="N37" s="637"/>
      <c r="O37" s="637"/>
      <c r="P37" s="637"/>
      <c r="Q37" s="637"/>
      <c r="R37" s="637"/>
    </row>
    <row r="38" spans="1:18" ht="12.75" x14ac:dyDescent="0.2">
      <c r="A38" s="637"/>
      <c r="B38" s="637"/>
      <c r="C38" s="637"/>
      <c r="D38" s="637"/>
      <c r="E38" s="637"/>
      <c r="F38" s="637"/>
      <c r="G38" s="637"/>
      <c r="H38" s="637"/>
      <c r="I38" s="637"/>
      <c r="J38" s="637"/>
      <c r="K38" s="637"/>
      <c r="L38" s="637"/>
      <c r="M38" s="637"/>
      <c r="N38" s="637"/>
      <c r="O38" s="637"/>
      <c r="P38" s="637"/>
      <c r="Q38" s="637"/>
      <c r="R38" s="637"/>
    </row>
    <row r="39" spans="1:18" ht="12.75" x14ac:dyDescent="0.2">
      <c r="A39" s="637"/>
      <c r="B39" s="637"/>
      <c r="C39" s="637"/>
      <c r="D39" s="637"/>
      <c r="E39" s="637"/>
      <c r="F39" s="637"/>
      <c r="G39" s="637"/>
      <c r="H39" s="637"/>
      <c r="I39" s="637"/>
      <c r="J39" s="637"/>
      <c r="K39" s="637"/>
      <c r="L39" s="637"/>
      <c r="M39" s="637"/>
      <c r="N39" s="637"/>
      <c r="O39" s="637"/>
      <c r="P39" s="637"/>
      <c r="Q39" s="637"/>
      <c r="R39" s="637"/>
    </row>
    <row r="40" spans="1:18" ht="12.75" x14ac:dyDescent="0.2">
      <c r="A40" s="637"/>
      <c r="B40" s="637"/>
      <c r="C40" s="637"/>
      <c r="D40" s="637"/>
      <c r="E40" s="637"/>
      <c r="F40" s="637"/>
      <c r="G40" s="637"/>
      <c r="H40" s="637"/>
      <c r="I40" s="637"/>
      <c r="J40" s="637"/>
      <c r="K40" s="637"/>
      <c r="L40" s="637"/>
      <c r="M40" s="637"/>
      <c r="N40" s="637"/>
      <c r="O40" s="637"/>
      <c r="P40" s="637"/>
      <c r="Q40" s="637"/>
      <c r="R40" s="637"/>
    </row>
    <row r="41" spans="1:18" ht="12.75" x14ac:dyDescent="0.2">
      <c r="A41" s="637"/>
      <c r="B41" s="637"/>
      <c r="C41" s="637"/>
      <c r="D41" s="637"/>
      <c r="E41" s="637"/>
      <c r="F41" s="637"/>
      <c r="G41" s="637"/>
      <c r="H41" s="637"/>
      <c r="I41" s="637"/>
      <c r="J41" s="637"/>
      <c r="K41" s="637"/>
      <c r="L41" s="637"/>
      <c r="M41" s="637"/>
      <c r="N41" s="637"/>
      <c r="O41" s="637"/>
      <c r="P41" s="637"/>
      <c r="Q41" s="637"/>
      <c r="R41" s="637"/>
    </row>
    <row r="42" spans="1:18" ht="12.75" x14ac:dyDescent="0.2">
      <c r="A42" s="637"/>
      <c r="B42" s="637"/>
      <c r="C42" s="637"/>
      <c r="D42" s="637"/>
      <c r="E42" s="637"/>
      <c r="F42" s="637"/>
      <c r="G42" s="637"/>
      <c r="H42" s="637"/>
      <c r="I42" s="637"/>
      <c r="J42" s="637"/>
      <c r="K42" s="637"/>
      <c r="L42" s="637"/>
      <c r="M42" s="637"/>
      <c r="N42" s="637"/>
      <c r="O42" s="637"/>
      <c r="P42" s="637"/>
      <c r="Q42" s="637"/>
      <c r="R42" s="637"/>
    </row>
    <row r="43" spans="1:18" ht="12.75" x14ac:dyDescent="0.2">
      <c r="A43" s="637"/>
      <c r="B43" s="637"/>
      <c r="C43" s="637"/>
      <c r="D43" s="637"/>
      <c r="E43" s="637"/>
      <c r="F43" s="637"/>
      <c r="G43" s="637"/>
      <c r="H43" s="637"/>
      <c r="I43" s="637"/>
      <c r="J43" s="637"/>
      <c r="K43" s="637"/>
      <c r="L43" s="637"/>
      <c r="M43" s="637"/>
      <c r="N43" s="637"/>
      <c r="O43" s="637"/>
      <c r="P43" s="637"/>
      <c r="Q43" s="637"/>
      <c r="R43" s="637"/>
    </row>
    <row r="44" spans="1:18" ht="12.75" x14ac:dyDescent="0.2">
      <c r="A44" s="637"/>
      <c r="B44" s="637"/>
      <c r="C44" s="637"/>
      <c r="D44" s="637"/>
      <c r="E44" s="637"/>
      <c r="F44" s="637"/>
      <c r="G44" s="637"/>
      <c r="H44" s="637"/>
      <c r="I44" s="637"/>
      <c r="J44" s="637"/>
      <c r="K44" s="637"/>
      <c r="L44" s="637"/>
      <c r="M44" s="637"/>
      <c r="N44" s="637"/>
      <c r="O44" s="637"/>
      <c r="P44" s="637"/>
      <c r="Q44" s="637"/>
      <c r="R44" s="637"/>
    </row>
    <row r="45" spans="1:18" ht="12.75" x14ac:dyDescent="0.2">
      <c r="A45" s="637"/>
      <c r="B45" s="637"/>
      <c r="C45" s="637"/>
      <c r="D45" s="637"/>
      <c r="E45" s="637"/>
      <c r="F45" s="637"/>
      <c r="G45" s="637"/>
      <c r="H45" s="637"/>
      <c r="I45" s="637"/>
      <c r="J45" s="637"/>
      <c r="K45" s="637"/>
      <c r="L45" s="637"/>
      <c r="M45" s="637"/>
      <c r="N45" s="637"/>
      <c r="O45" s="637"/>
      <c r="P45" s="637"/>
      <c r="Q45" s="637"/>
      <c r="R45" s="637"/>
    </row>
    <row r="46" spans="1:18" ht="12.75" x14ac:dyDescent="0.2">
      <c r="A46" s="637"/>
      <c r="B46" s="637"/>
      <c r="C46" s="637"/>
      <c r="D46" s="637"/>
      <c r="E46" s="637"/>
      <c r="F46" s="637"/>
      <c r="G46" s="637"/>
      <c r="H46" s="637"/>
      <c r="I46" s="637"/>
      <c r="J46" s="637"/>
      <c r="K46" s="637"/>
      <c r="L46" s="637"/>
      <c r="M46" s="637"/>
      <c r="N46" s="637"/>
      <c r="O46" s="637"/>
      <c r="P46" s="637"/>
      <c r="Q46" s="637"/>
      <c r="R46" s="637"/>
    </row>
    <row r="47" spans="1:18" ht="12.75" x14ac:dyDescent="0.2">
      <c r="A47" s="637"/>
      <c r="B47" s="637"/>
      <c r="C47" s="637"/>
      <c r="D47" s="637"/>
      <c r="E47" s="637"/>
      <c r="F47" s="637"/>
      <c r="G47" s="637"/>
      <c r="H47" s="637"/>
      <c r="I47" s="637"/>
      <c r="J47" s="637"/>
      <c r="K47" s="637"/>
      <c r="L47" s="637"/>
      <c r="M47" s="637"/>
      <c r="N47" s="637"/>
      <c r="O47" s="637"/>
      <c r="P47" s="637"/>
      <c r="Q47" s="637"/>
      <c r="R47" s="637"/>
    </row>
    <row r="48" spans="1:18" ht="12.75" x14ac:dyDescent="0.2">
      <c r="A48" s="637"/>
      <c r="B48" s="637"/>
      <c r="C48" s="637"/>
      <c r="D48" s="637"/>
      <c r="E48" s="637"/>
      <c r="F48" s="637"/>
      <c r="G48" s="637"/>
      <c r="H48" s="637"/>
      <c r="I48" s="637"/>
      <c r="J48" s="637"/>
      <c r="K48" s="637"/>
      <c r="L48" s="637"/>
      <c r="M48" s="637"/>
      <c r="N48" s="637"/>
      <c r="O48" s="637"/>
      <c r="P48" s="637"/>
      <c r="Q48" s="637"/>
      <c r="R48" s="637"/>
    </row>
    <row r="49" spans="1:18" ht="12.75" x14ac:dyDescent="0.2">
      <c r="A49" s="637"/>
      <c r="B49" s="637"/>
      <c r="C49" s="637"/>
      <c r="D49" s="637"/>
      <c r="E49" s="637"/>
      <c r="F49" s="637"/>
      <c r="G49" s="637"/>
      <c r="H49" s="637"/>
      <c r="I49" s="637"/>
      <c r="J49" s="637"/>
      <c r="K49" s="637"/>
      <c r="L49" s="637"/>
      <c r="M49" s="637"/>
      <c r="N49" s="637"/>
      <c r="O49" s="637"/>
      <c r="P49" s="637"/>
      <c r="Q49" s="637"/>
      <c r="R49" s="637"/>
    </row>
    <row r="50" spans="1:18" ht="12.75" x14ac:dyDescent="0.2">
      <c r="A50" s="637"/>
      <c r="B50" s="637"/>
      <c r="C50" s="637"/>
      <c r="D50" s="637"/>
      <c r="E50" s="637"/>
      <c r="F50" s="637"/>
      <c r="G50" s="637"/>
      <c r="H50" s="637"/>
      <c r="I50" s="637"/>
      <c r="J50" s="637"/>
      <c r="K50" s="637"/>
      <c r="L50" s="637"/>
      <c r="M50" s="637"/>
      <c r="N50" s="637"/>
      <c r="O50" s="637"/>
      <c r="P50" s="637"/>
      <c r="Q50" s="637"/>
      <c r="R50" s="637"/>
    </row>
    <row r="51" spans="1:18" ht="12.75" x14ac:dyDescent="0.2">
      <c r="A51" s="637"/>
      <c r="B51" s="637"/>
      <c r="C51" s="637"/>
      <c r="D51" s="637"/>
      <c r="E51" s="637"/>
      <c r="F51" s="637"/>
      <c r="G51" s="637"/>
      <c r="H51" s="637"/>
      <c r="I51" s="637"/>
      <c r="J51" s="637"/>
      <c r="K51" s="637"/>
      <c r="L51" s="637"/>
      <c r="M51" s="637"/>
      <c r="N51" s="637"/>
      <c r="O51" s="637"/>
      <c r="P51" s="637"/>
      <c r="Q51" s="637"/>
      <c r="R51" s="637"/>
    </row>
    <row r="52" spans="1:18" ht="12.75" x14ac:dyDescent="0.2">
      <c r="A52" s="637"/>
      <c r="B52" s="637"/>
      <c r="C52" s="637"/>
      <c r="D52" s="637"/>
      <c r="E52" s="637"/>
      <c r="F52" s="637"/>
      <c r="G52" s="637"/>
      <c r="H52" s="637"/>
      <c r="I52" s="637"/>
      <c r="J52" s="637"/>
      <c r="K52" s="637"/>
      <c r="L52" s="637"/>
      <c r="M52" s="637"/>
      <c r="N52" s="637"/>
      <c r="O52" s="637"/>
      <c r="P52" s="637"/>
      <c r="Q52" s="637"/>
      <c r="R52" s="637"/>
    </row>
    <row r="53" spans="1:18" ht="12.75" x14ac:dyDescent="0.2">
      <c r="A53" s="637"/>
      <c r="B53" s="637"/>
      <c r="C53" s="637"/>
      <c r="D53" s="637"/>
      <c r="E53" s="637"/>
      <c r="F53" s="637"/>
      <c r="G53" s="637"/>
      <c r="H53" s="637"/>
      <c r="I53" s="637"/>
      <c r="J53" s="637"/>
      <c r="K53" s="637"/>
      <c r="L53" s="637"/>
      <c r="M53" s="637"/>
      <c r="N53" s="637"/>
      <c r="O53" s="637"/>
      <c r="P53" s="637"/>
      <c r="Q53" s="637"/>
      <c r="R53" s="637"/>
    </row>
    <row r="54" spans="1:18" ht="12.75" x14ac:dyDescent="0.2">
      <c r="A54" s="637"/>
      <c r="B54" s="637"/>
      <c r="C54" s="637"/>
      <c r="D54" s="637"/>
      <c r="E54" s="637"/>
      <c r="F54" s="637"/>
      <c r="G54" s="637"/>
      <c r="H54" s="637"/>
      <c r="I54" s="637"/>
      <c r="J54" s="637"/>
      <c r="K54" s="637"/>
      <c r="L54" s="637"/>
      <c r="M54" s="637"/>
      <c r="N54" s="637"/>
      <c r="O54" s="637"/>
      <c r="P54" s="637"/>
      <c r="Q54" s="637"/>
      <c r="R54" s="637"/>
    </row>
    <row r="55" spans="1:18" ht="12.75" x14ac:dyDescent="0.2">
      <c r="A55" s="637"/>
      <c r="B55" s="637"/>
      <c r="C55" s="637"/>
      <c r="D55" s="637"/>
      <c r="E55" s="637"/>
      <c r="F55" s="637"/>
      <c r="G55" s="637"/>
      <c r="H55" s="637"/>
      <c r="I55" s="637"/>
      <c r="J55" s="637"/>
      <c r="K55" s="637"/>
      <c r="L55" s="637"/>
      <c r="M55" s="637"/>
      <c r="N55" s="637"/>
      <c r="O55" s="637"/>
      <c r="P55" s="637"/>
      <c r="Q55" s="637"/>
      <c r="R55" s="637"/>
    </row>
    <row r="56" spans="1:18" ht="12.75" x14ac:dyDescent="0.2">
      <c r="A56" s="637"/>
      <c r="B56" s="637"/>
      <c r="C56" s="637"/>
      <c r="D56" s="637"/>
      <c r="E56" s="637"/>
      <c r="F56" s="637"/>
      <c r="G56" s="637"/>
      <c r="H56" s="637"/>
      <c r="I56" s="637"/>
      <c r="J56" s="637"/>
      <c r="K56" s="637"/>
      <c r="L56" s="637"/>
      <c r="M56" s="637"/>
      <c r="N56" s="637"/>
      <c r="O56" s="637"/>
      <c r="P56" s="637"/>
      <c r="Q56" s="637"/>
      <c r="R56" s="637"/>
    </row>
    <row r="57" spans="1:18" ht="12.75" x14ac:dyDescent="0.2">
      <c r="A57" s="637"/>
      <c r="B57" s="637"/>
      <c r="C57" s="637"/>
      <c r="D57" s="637"/>
      <c r="E57" s="637"/>
      <c r="F57" s="637"/>
      <c r="G57" s="637"/>
      <c r="H57" s="637"/>
      <c r="I57" s="637"/>
      <c r="J57" s="637"/>
      <c r="K57" s="637"/>
      <c r="L57" s="637"/>
      <c r="M57" s="637"/>
      <c r="N57" s="637"/>
      <c r="O57" s="637"/>
      <c r="P57" s="637"/>
      <c r="Q57" s="637"/>
      <c r="R57" s="637"/>
    </row>
    <row r="58" spans="1:18" ht="12.75" x14ac:dyDescent="0.2">
      <c r="A58" s="637"/>
      <c r="B58" s="637"/>
      <c r="C58" s="637"/>
      <c r="D58" s="637"/>
      <c r="E58" s="637"/>
      <c r="F58" s="637"/>
      <c r="G58" s="637"/>
      <c r="H58" s="637"/>
      <c r="I58" s="637"/>
      <c r="J58" s="637"/>
      <c r="K58" s="637"/>
      <c r="L58" s="637"/>
      <c r="M58" s="637"/>
      <c r="N58" s="637"/>
      <c r="O58" s="637"/>
      <c r="P58" s="637"/>
      <c r="Q58" s="637"/>
      <c r="R58" s="637"/>
    </row>
    <row r="59" spans="1:18" ht="12.75" x14ac:dyDescent="0.2">
      <c r="A59" s="637"/>
      <c r="B59" s="637"/>
      <c r="C59" s="637"/>
      <c r="D59" s="637"/>
      <c r="E59" s="637"/>
      <c r="F59" s="637"/>
      <c r="G59" s="637"/>
      <c r="H59" s="637"/>
      <c r="I59" s="637"/>
      <c r="J59" s="637"/>
      <c r="K59" s="637"/>
      <c r="L59" s="637"/>
      <c r="M59" s="637"/>
      <c r="N59" s="637"/>
      <c r="O59" s="637"/>
      <c r="P59" s="637"/>
      <c r="Q59" s="637"/>
      <c r="R59" s="637"/>
    </row>
    <row r="60" spans="1:18" ht="12.75" x14ac:dyDescent="0.2">
      <c r="A60" s="637"/>
      <c r="B60" s="637"/>
      <c r="C60" s="637"/>
      <c r="D60" s="637"/>
      <c r="E60" s="637"/>
      <c r="F60" s="637"/>
      <c r="G60" s="637"/>
      <c r="H60" s="637"/>
      <c r="I60" s="637"/>
      <c r="J60" s="637"/>
      <c r="K60" s="637"/>
      <c r="L60" s="637"/>
      <c r="M60" s="637"/>
      <c r="N60" s="637"/>
      <c r="O60" s="637"/>
      <c r="P60" s="637"/>
      <c r="Q60" s="637"/>
      <c r="R60" s="637"/>
    </row>
    <row r="61" spans="1:18" ht="12.75" x14ac:dyDescent="0.2">
      <c r="A61" s="637"/>
      <c r="B61" s="637"/>
      <c r="C61" s="637"/>
      <c r="D61" s="637"/>
      <c r="E61" s="637"/>
      <c r="F61" s="637"/>
      <c r="G61" s="637"/>
      <c r="H61" s="637"/>
      <c r="I61" s="637"/>
      <c r="J61" s="637"/>
      <c r="K61" s="637"/>
      <c r="L61" s="637"/>
      <c r="M61" s="637"/>
      <c r="N61" s="637"/>
      <c r="O61" s="637"/>
      <c r="P61" s="637"/>
      <c r="Q61" s="637"/>
      <c r="R61" s="637"/>
    </row>
  </sheetData>
  <mergeCells count="8">
    <mergeCell ref="B1:D1"/>
    <mergeCell ref="B3:D3"/>
    <mergeCell ref="C17:G17"/>
    <mergeCell ref="A8:I8"/>
    <mergeCell ref="B4:D4"/>
    <mergeCell ref="B6:D6"/>
    <mergeCell ref="B2:D2"/>
    <mergeCell ref="B5:D5"/>
  </mergeCells>
  <printOptions horizontalCentered="1"/>
  <pageMargins left="0.25" right="0.25" top="0.5" bottom="0.25" header="0" footer="0"/>
  <pageSetup scale="75" orientation="landscape" r:id="rId1"/>
  <headerFooter>
    <oddHeader>&amp;LUniversité d'Ottawa/University of Ottawa
Service des immeubles/Physical Resources Service</oddHeader>
    <oddFooter>&amp;L&amp;Z&amp;F&amp;R&amp;D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Option Button 1">
              <controlPr defaultSize="0" autoFill="0" autoLine="0" autoPict="0">
                <anchor moveWithCells="1">
                  <from>
                    <xdr:col>0</xdr:col>
                    <xdr:colOff>66675</xdr:colOff>
                    <xdr:row>9</xdr:row>
                    <xdr:rowOff>104775</xdr:rowOff>
                  </from>
                  <to>
                    <xdr:col>2</xdr:col>
                    <xdr:colOff>123825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Option Button 2">
              <controlPr defaultSize="0" autoFill="0" autoLine="0" autoPict="0">
                <anchor moveWithCells="1">
                  <from>
                    <xdr:col>0</xdr:col>
                    <xdr:colOff>47625</xdr:colOff>
                    <xdr:row>10</xdr:row>
                    <xdr:rowOff>76200</xdr:rowOff>
                  </from>
                  <to>
                    <xdr:col>2</xdr:col>
                    <xdr:colOff>85725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Option Button 3">
              <controlPr defaultSize="0" autoFill="0" autoLine="0" autoPict="0">
                <anchor moveWithCells="1">
                  <from>
                    <xdr:col>0</xdr:col>
                    <xdr:colOff>66675</xdr:colOff>
                    <xdr:row>11</xdr:row>
                    <xdr:rowOff>76200</xdr:rowOff>
                  </from>
                  <to>
                    <xdr:col>2</xdr:col>
                    <xdr:colOff>76200</xdr:colOff>
                    <xdr:row>11</xdr:row>
                    <xdr:rowOff>314325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13</vt:i4>
      </vt:variant>
    </vt:vector>
  </HeadingPairs>
  <TitlesOfParts>
    <vt:vector size="18" baseType="lpstr">
      <vt:lpstr>Document Summary</vt:lpstr>
      <vt:lpstr>Company</vt:lpstr>
      <vt:lpstr>Consultant</vt:lpstr>
      <vt:lpstr>Trades</vt:lpstr>
      <vt:lpstr>Year End</vt:lpstr>
      <vt:lpstr>choices</vt:lpstr>
      <vt:lpstr>dte</vt:lpstr>
      <vt:lpstr>Holdback</vt:lpstr>
      <vt:lpstr>Consultant!HST</vt:lpstr>
      <vt:lpstr>HST</vt:lpstr>
      <vt:lpstr>hst_choices</vt:lpstr>
      <vt:lpstr>Consultant!HST_Rebate</vt:lpstr>
      <vt:lpstr>HST_Rebate</vt:lpstr>
      <vt:lpstr>Company!Print_Area</vt:lpstr>
      <vt:lpstr>Consultant!Print_Area</vt:lpstr>
      <vt:lpstr>'Document Summary'!Print_Area</vt:lpstr>
      <vt:lpstr>'Year End'!Print_Area</vt:lpstr>
      <vt:lpstr>'Document Summary'!Print_Titles</vt:lpstr>
    </vt:vector>
  </TitlesOfParts>
  <Company>2D Canada Inc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Tudor</dc:creator>
  <cp:lastModifiedBy>Julie Vaillancourt</cp:lastModifiedBy>
  <cp:lastPrinted>2012-01-31T14:48:57Z</cp:lastPrinted>
  <dcterms:created xsi:type="dcterms:W3CDTF">2011-03-08T14:54:34Z</dcterms:created>
  <dcterms:modified xsi:type="dcterms:W3CDTF">2012-08-31T19:31:46Z</dcterms:modified>
</cp:coreProperties>
</file>